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2" activeTab="4"/>
  </bookViews>
  <sheets>
    <sheet name="2021年体制基数" sheetId="1" r:id="rId1"/>
    <sheet name="2021年林业站工资测算" sheetId="2" r:id="rId2"/>
    <sheet name="2022年体制基数" sheetId="3" r:id="rId3"/>
    <sheet name="2022年林业站工资测算" sheetId="4" r:id="rId4"/>
    <sheet name="2022年林业站政府采购清单" sheetId="5" r:id="rId5"/>
  </sheets>
  <externalReferences>
    <externalReference r:id="rId6"/>
    <externalReference r:id="rId7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N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842.49+42*2.5=947.49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932.6+2.5*43=1040.10</t>
        </r>
      </text>
    </comment>
    <comment ref="N11" authorId="0">
      <text>
        <r>
          <rPr>
            <sz val="9"/>
            <rFont val="宋体"/>
            <charset val="134"/>
          </rPr>
          <t>213.14+借用人员工资100+预留政策出台103=416.14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473.89+2.5*26=538.89</t>
        </r>
      </text>
    </comment>
    <comment ref="N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26.98+2.5*3=34.48</t>
        </r>
      </text>
    </comment>
    <comment ref="P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41.57+2.5*3=49.07</t>
        </r>
      </text>
    </comment>
    <comment ref="N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92.7+158=250.7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842.49+42*2.5=947.49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932.6+2.5*43=1040.10</t>
        </r>
      </text>
    </comment>
    <comment ref="N11" authorId="0">
      <text>
        <r>
          <rPr>
            <sz val="9"/>
            <rFont val="宋体"/>
            <charset val="134"/>
          </rPr>
          <t>213.14+借用人员工资100+预留政策出台103=416.14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473.89+2.5*26=538.89</t>
        </r>
      </text>
    </comment>
    <comment ref="N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26.98+2.5*3=34.48</t>
        </r>
      </text>
    </comment>
    <comment ref="P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41.57+2.5*3=49.07</t>
        </r>
      </text>
    </comment>
    <comment ref="N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92.7+158=250.7</t>
        </r>
      </text>
    </comment>
  </commentList>
</comments>
</file>

<file path=xl/sharedStrings.xml><?xml version="1.0" encoding="utf-8"?>
<sst xmlns="http://schemas.openxmlformats.org/spreadsheetml/2006/main" count="322" uniqueCount="143">
  <si>
    <t>2021年淅河镇体制基数测算表</t>
  </si>
  <si>
    <t>填报单位：淅河镇财政所</t>
  </si>
  <si>
    <t>单位：万元</t>
  </si>
  <si>
    <t>项目</t>
  </si>
  <si>
    <t>编制数</t>
  </si>
  <si>
    <t>人数</t>
  </si>
  <si>
    <t>2020年测算数</t>
  </si>
  <si>
    <t>支出基数</t>
  </si>
  <si>
    <t>经费缺口</t>
  </si>
  <si>
    <t>备注</t>
  </si>
  <si>
    <t>在职</t>
  </si>
  <si>
    <t>退休</t>
  </si>
  <si>
    <t>小计</t>
  </si>
  <si>
    <t>工资福利支出</t>
  </si>
  <si>
    <t>遗属生活困难补助</t>
  </si>
  <si>
    <t>公用经费</t>
  </si>
  <si>
    <t>以钱养事项目服务经费</t>
  </si>
  <si>
    <t>其他</t>
  </si>
  <si>
    <t>2015年实际数</t>
  </si>
  <si>
    <t>2020年基数调整</t>
  </si>
  <si>
    <t>2020年预算数</t>
  </si>
  <si>
    <t>合计</t>
  </si>
  <si>
    <t>A、个人部分</t>
  </si>
  <si>
    <t>-</t>
  </si>
  <si>
    <t>一、行政</t>
  </si>
  <si>
    <t>1、淅河政府</t>
  </si>
  <si>
    <t>二、事业单位</t>
  </si>
  <si>
    <t>1、财政所</t>
  </si>
  <si>
    <t>2、人社中心</t>
  </si>
  <si>
    <t>3、畜特站</t>
  </si>
  <si>
    <t>4、国土所</t>
  </si>
  <si>
    <t>5、林业站</t>
  </si>
  <si>
    <t>三、“以钱养事”单位</t>
  </si>
  <si>
    <t>1、原以钱养事项目服务经费计225.44万元，其中包含区级66.94万元和省级158.5万元（随高财（2019）9号文）      2、鄂财农村发（2019）7号文增补100万元            3、计生含“三查四术”经费22.4万元</t>
  </si>
  <si>
    <t>1、畜牧服务中心</t>
  </si>
  <si>
    <t>2、农业服务中心</t>
  </si>
  <si>
    <t>3、文化站</t>
  </si>
  <si>
    <t>/-</t>
  </si>
  <si>
    <t>4、计生站</t>
  </si>
  <si>
    <t>5、水利服务中心</t>
  </si>
  <si>
    <t>6、农机服务中心</t>
  </si>
  <si>
    <t>7、林业服务中心</t>
  </si>
  <si>
    <t>8、农村财务双代理</t>
  </si>
  <si>
    <t>B、公共部分</t>
  </si>
  <si>
    <t>1、招商引资经费</t>
  </si>
  <si>
    <t>2、以钱养事聘用</t>
  </si>
  <si>
    <t>填报单位：</t>
  </si>
  <si>
    <t>淅河镇林业站</t>
  </si>
  <si>
    <t>填报时间：</t>
  </si>
  <si>
    <t>编号</t>
  </si>
  <si>
    <t>姓名</t>
  </si>
  <si>
    <t>（1-1）</t>
  </si>
  <si>
    <t>（1-2）</t>
  </si>
  <si>
    <t>（2）津贴补贴</t>
  </si>
  <si>
    <t>（3）</t>
  </si>
  <si>
    <t>（4）社会保障缴费</t>
  </si>
  <si>
    <t>（5）奖金</t>
  </si>
  <si>
    <t>（6）</t>
  </si>
  <si>
    <t>(7)</t>
  </si>
  <si>
    <t>（8）应发工资</t>
  </si>
  <si>
    <t>（9）月发工资</t>
  </si>
  <si>
    <t>（10）年发工资</t>
  </si>
  <si>
    <t>（11）年工资总额</t>
  </si>
  <si>
    <t>职务工资</t>
  </si>
  <si>
    <t>级别工资</t>
  </si>
  <si>
    <t>基本工资</t>
  </si>
  <si>
    <t>绩效工资</t>
  </si>
  <si>
    <t>统一规范性津贴</t>
  </si>
  <si>
    <t>住房补贴</t>
  </si>
  <si>
    <t>物业补贴</t>
  </si>
  <si>
    <t>通讯补贴</t>
  </si>
  <si>
    <t>93工改补贴</t>
  </si>
  <si>
    <t>妇女卫生费</t>
  </si>
  <si>
    <t>岗位津贴</t>
  </si>
  <si>
    <t>交通补贴</t>
  </si>
  <si>
    <t>住房公积金</t>
  </si>
  <si>
    <t>养老保险16%</t>
  </si>
  <si>
    <t>职业年金8%</t>
  </si>
  <si>
    <t>医疗保险</t>
  </si>
  <si>
    <t>公务员医疗补助5%（含退休人员）</t>
  </si>
  <si>
    <t>失业保险0.7%</t>
  </si>
  <si>
    <t>工伤保险0.2%</t>
  </si>
  <si>
    <t>13个月工资</t>
  </si>
  <si>
    <t>奖励性工资</t>
  </si>
  <si>
    <t>乡镇补贴</t>
  </si>
  <si>
    <t>补充住房公积及（单位部分）</t>
  </si>
  <si>
    <t>（1）+（2）+（3）</t>
  </si>
  <si>
    <t>（8）+（4）+（6）</t>
  </si>
  <si>
    <t>（9）*12</t>
  </si>
  <si>
    <t>（9）*12+（5）+（7）</t>
  </si>
  <si>
    <t>岗位工资</t>
  </si>
  <si>
    <t>薪级工资</t>
  </si>
  <si>
    <t>基础性绩效工资</t>
  </si>
  <si>
    <t>奖励性绩效工资</t>
  </si>
  <si>
    <t>医疗（含生育）保险7%</t>
  </si>
  <si>
    <t>大病医保0.5%</t>
  </si>
  <si>
    <t>退休人员医保9%</t>
  </si>
  <si>
    <t>目标责任奖</t>
  </si>
  <si>
    <t>党建先进单位奖</t>
  </si>
  <si>
    <t>文明单位创建奖</t>
  </si>
  <si>
    <t>综治先进单位奖</t>
  </si>
  <si>
    <t>档案达标先进奖</t>
  </si>
  <si>
    <t>何儒先</t>
  </si>
  <si>
    <t>汪春桥</t>
  </si>
  <si>
    <t>刘佳宇</t>
  </si>
  <si>
    <t>胡成浩</t>
  </si>
  <si>
    <t>闵家林</t>
  </si>
  <si>
    <t>费大昭</t>
  </si>
  <si>
    <t>2022年淅河镇体制基数测算表</t>
  </si>
  <si>
    <t>2022年测算数</t>
  </si>
  <si>
    <t>3、动监站</t>
  </si>
  <si>
    <t xml:space="preserve">1、原以钱养事项目服务经费计225.44万元，其中包含区级66.94万元和省级158.5万元（随高财（2019）9号文）       2、鄂财农村发（2019）7号文以钱养事增补100万元            3、计生含“四术”经费28.88万元         4、文化站电影放映费3.36万元。     5、农机含龚献才转业5万元     </t>
  </si>
  <si>
    <t>1、畜牧兽医服务中心</t>
  </si>
  <si>
    <t>2、农业技术服务中心</t>
  </si>
  <si>
    <t>3、文化服务中心</t>
  </si>
  <si>
    <t>4、计划生育服务中心</t>
  </si>
  <si>
    <t>5、水利水产服务中心</t>
  </si>
  <si>
    <t>6、农业机械服务中心</t>
  </si>
  <si>
    <t>预算14表</t>
  </si>
  <si>
    <t>政府采购预算表</t>
  </si>
  <si>
    <t>科目编码</t>
  </si>
  <si>
    <t>科目名称</t>
  </si>
  <si>
    <t>项目名称</t>
  </si>
  <si>
    <t>主要采购品目</t>
  </si>
  <si>
    <t>数量</t>
  </si>
  <si>
    <t>计量单位</t>
  </si>
  <si>
    <t>资金来源</t>
  </si>
  <si>
    <t>总计</t>
  </si>
  <si>
    <t>公共预算财政拨款</t>
  </si>
  <si>
    <t>政府性基金预算财政拨款</t>
  </si>
  <si>
    <t>其他收入</t>
  </si>
  <si>
    <t>事业收入</t>
  </si>
  <si>
    <t>上年结转</t>
  </si>
  <si>
    <t>淅河林业站</t>
  </si>
  <si>
    <t>事业运行（林业和草原）</t>
  </si>
  <si>
    <t>商品和服务支出</t>
  </si>
  <si>
    <t>车辆加油服务</t>
  </si>
  <si>
    <t>批</t>
  </si>
  <si>
    <t>机动车保险服务</t>
  </si>
  <si>
    <t>车辆维修和保养服务</t>
  </si>
  <si>
    <t>其他会计服务</t>
  </si>
  <si>
    <t>电脑计算机设备</t>
  </si>
  <si>
    <t>台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</si>
</sst>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00_ "/>
  </numFmts>
  <fonts count="43"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name val="方正大标宋简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9" applyNumberFormat="0" applyAlignment="0" applyProtection="0">
      <alignment vertical="center"/>
    </xf>
    <xf numFmtId="0" fontId="37" fillId="16" borderId="14" applyNumberFormat="0" applyAlignment="0" applyProtection="0">
      <alignment vertical="center"/>
    </xf>
    <xf numFmtId="0" fontId="29" fillId="10" borderId="1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 wrapText="1"/>
    </xf>
    <xf numFmtId="176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Continuous" vertical="center"/>
    </xf>
    <xf numFmtId="0" fontId="6" fillId="0" borderId="5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176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1" fontId="1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8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vertical="center" wrapText="1"/>
    </xf>
    <xf numFmtId="177" fontId="18" fillId="0" borderId="3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176" fontId="20" fillId="0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vertical="center" wrapText="1"/>
    </xf>
    <xf numFmtId="176" fontId="15" fillId="0" borderId="3" xfId="0" applyNumberFormat="1" applyFont="1" applyFill="1" applyBorder="1" applyAlignment="1">
      <alignment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vertical="center" wrapText="1"/>
    </xf>
    <xf numFmtId="178" fontId="13" fillId="0" borderId="3" xfId="0" applyNumberFormat="1" applyFont="1" applyFill="1" applyBorder="1" applyAlignment="1">
      <alignment vertical="center" wrapText="1"/>
    </xf>
    <xf numFmtId="178" fontId="15" fillId="0" borderId="3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31" fontId="0" fillId="0" borderId="0" xfId="0" applyNumberForma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178" fontId="1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1" fontId="18" fillId="0" borderId="0" xfId="0" applyNumberFormat="1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vertical="center" wrapText="1"/>
    </xf>
    <xf numFmtId="176" fontId="18" fillId="0" borderId="3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vertical="center" wrapText="1"/>
    </xf>
    <xf numFmtId="177" fontId="18" fillId="0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vertical="center" wrapText="1"/>
    </xf>
    <xf numFmtId="178" fontId="18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8101;&#27827;&#38215;&#21306;&#32423;&#39044;&#31639;&#65288;&#19978;&#2525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8101;&#27827;&#38215;&#37096;&#38376;&#39044;&#31639;&#34920;&#65288;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封面"/>
      <sheetName val="2项目支出明细表（区级）"/>
      <sheetName val="3项目支出明细表（各局）"/>
      <sheetName val="4项目支出明细表（部门）"/>
      <sheetName val="5体制基数测算"/>
      <sheetName val="6人员情况表"/>
      <sheetName val="7在职人员情况表"/>
      <sheetName val="8退休人员情况表"/>
      <sheetName val="9工资福利支出"/>
      <sheetName val="10政府工资测算表"/>
      <sheetName val="11财政所工资测算表"/>
      <sheetName val="12人社中心工资测算表"/>
      <sheetName val="13国土所工资测算表"/>
      <sheetName val="14林业站工资测算表"/>
      <sheetName val="15畜牧站工资测算表"/>
      <sheetName val="16财政所垫付退休养老金"/>
      <sheetName val="17遗属补助"/>
      <sheetName val="死亡一次性抚恤及安葬费"/>
      <sheetName val="政府采购"/>
      <sheetName val="镇级预算"/>
      <sheetName val="镇级预算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>
            <v>968.57733648</v>
          </cell>
        </row>
        <row r="9">
          <cell r="D9">
            <v>475.873130302222</v>
          </cell>
        </row>
        <row r="10">
          <cell r="D10">
            <v>67.7918048</v>
          </cell>
        </row>
        <row r="11">
          <cell r="D11">
            <v>68.671358</v>
          </cell>
        </row>
        <row r="12">
          <cell r="D12">
            <v>59.8731906</v>
          </cell>
        </row>
        <row r="13">
          <cell r="D13">
            <v>39.2888992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体制基数"/>
      <sheetName val="项目明细（区级）"/>
      <sheetName val="项目明细（各局）"/>
      <sheetName val="项目明细（部门）"/>
      <sheetName val="镇级"/>
      <sheetName val="工资福利支出"/>
      <sheetName val="社保各项明细"/>
      <sheetName val="政府工资测算"/>
      <sheetName val="财政所工资测算"/>
      <sheetName val="人社中心工资测算"/>
      <sheetName val="林业站工资测算"/>
      <sheetName val="国土所工资测算"/>
      <sheetName val="动监站工资测算"/>
      <sheetName val="单位人员基本情况表"/>
      <sheetName val="在职人员职称、职级情况表"/>
      <sheetName val="退休人员职称、职级情况表"/>
      <sheetName val="死亡人员抚恤、安葬费"/>
      <sheetName val="财政所垫付退休人员工资"/>
      <sheetName val="遗属补助"/>
      <sheetName val="以钱养事资金分配"/>
      <sheetName val="2020年体制基数使用情况"/>
      <sheetName val="政府采购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1216.304656</v>
          </cell>
        </row>
        <row r="9">
          <cell r="D9">
            <v>521.963098671111</v>
          </cell>
        </row>
        <row r="10">
          <cell r="D10">
            <v>67.03682</v>
          </cell>
        </row>
        <row r="11">
          <cell r="D11">
            <v>70.1348216</v>
          </cell>
        </row>
        <row r="12">
          <cell r="D12">
            <v>89.3691392266667</v>
          </cell>
        </row>
        <row r="13">
          <cell r="D13">
            <v>40.9783584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opLeftCell="B2" workbookViewId="0">
      <selection activeCell="A2" sqref="$A1:$XFD1048576"/>
    </sheetView>
  </sheetViews>
  <sheetFormatPr defaultColWidth="9" defaultRowHeight="27" customHeight="1"/>
  <cols>
    <col min="1" max="1" width="5.62962962962963" style="178" hidden="1" customWidth="1"/>
    <col min="2" max="2" width="16.2222222222222" style="178" customWidth="1"/>
    <col min="3" max="3" width="3.77777777777778" style="180" customWidth="1"/>
    <col min="4" max="4" width="4.22222222222222" style="178" customWidth="1"/>
    <col min="5" max="5" width="4.11111111111111" style="178" customWidth="1"/>
    <col min="6" max="6" width="10.3333333333333" style="179" customWidth="1"/>
    <col min="7" max="7" width="10.3333333333333" style="178" customWidth="1"/>
    <col min="8" max="8" width="8" style="178" customWidth="1"/>
    <col min="9" max="9" width="9.33333333333333" style="178" customWidth="1"/>
    <col min="10" max="10" width="9" style="178" customWidth="1"/>
    <col min="11" max="11" width="9.22222222222222" style="181" customWidth="1"/>
    <col min="12" max="12" width="7.77777777777778" style="181" customWidth="1"/>
    <col min="13" max="15" width="16.5" style="178" hidden="1" customWidth="1"/>
    <col min="16" max="16" width="10.6296296296296" style="178" hidden="1" customWidth="1"/>
    <col min="17" max="17" width="9.5" style="178" hidden="1" customWidth="1"/>
    <col min="18" max="18" width="9.66666666666667" style="178" customWidth="1"/>
    <col min="19" max="16382" width="9" style="178"/>
    <col min="16383" max="16384" width="9" style="182"/>
  </cols>
  <sheetData>
    <row r="1" s="178" customFormat="1" ht="34" customHeight="1" spans="2:18">
      <c r="B1" s="183" t="s">
        <v>0</v>
      </c>
      <c r="C1" s="184"/>
      <c r="D1" s="185"/>
      <c r="E1" s="185"/>
      <c r="F1" s="185"/>
      <c r="G1" s="185"/>
      <c r="H1" s="185"/>
      <c r="I1" s="185"/>
      <c r="J1" s="185"/>
      <c r="K1" s="204"/>
      <c r="L1" s="204"/>
      <c r="M1" s="185"/>
      <c r="N1" s="185"/>
      <c r="O1" s="185"/>
      <c r="P1" s="185"/>
      <c r="Q1" s="185"/>
      <c r="R1" s="185"/>
    </row>
    <row r="2" s="178" customFormat="1" ht="9" customHeight="1" spans="2:18">
      <c r="B2" s="185"/>
      <c r="C2" s="184"/>
      <c r="D2" s="185"/>
      <c r="E2" s="185"/>
      <c r="F2" s="185"/>
      <c r="G2" s="185"/>
      <c r="H2" s="185"/>
      <c r="I2" s="185"/>
      <c r="J2" s="185"/>
      <c r="K2" s="204"/>
      <c r="L2" s="204"/>
      <c r="M2" s="185"/>
      <c r="N2" s="185"/>
      <c r="O2" s="185"/>
      <c r="P2" s="185"/>
      <c r="Q2" s="185"/>
      <c r="R2" s="185"/>
    </row>
    <row r="3" s="178" customFormat="1" ht="15" customHeight="1" spans="2:18">
      <c r="B3" s="186" t="s">
        <v>1</v>
      </c>
      <c r="C3" s="186"/>
      <c r="D3" s="186"/>
      <c r="E3" s="186"/>
      <c r="F3" s="187">
        <v>44151</v>
      </c>
      <c r="G3" s="185"/>
      <c r="H3" s="185"/>
      <c r="K3" s="181"/>
      <c r="L3" s="186" t="s">
        <v>2</v>
      </c>
      <c r="M3" s="186"/>
      <c r="N3" s="186"/>
      <c r="O3" s="186"/>
      <c r="P3" s="186"/>
      <c r="Q3" s="186"/>
      <c r="R3" s="214"/>
    </row>
    <row r="4" s="178" customFormat="1" customHeight="1" spans="2:18">
      <c r="B4" s="188" t="s">
        <v>3</v>
      </c>
      <c r="C4" s="189" t="s">
        <v>4</v>
      </c>
      <c r="D4" s="188" t="s">
        <v>5</v>
      </c>
      <c r="E4" s="188"/>
      <c r="F4" s="190" t="s">
        <v>6</v>
      </c>
      <c r="G4" s="191"/>
      <c r="H4" s="191"/>
      <c r="I4" s="191"/>
      <c r="J4" s="191"/>
      <c r="K4" s="205"/>
      <c r="L4" s="205"/>
      <c r="M4" s="206" t="s">
        <v>7</v>
      </c>
      <c r="N4" s="206"/>
      <c r="O4" s="206"/>
      <c r="P4" s="206"/>
      <c r="Q4" s="188" t="s">
        <v>8</v>
      </c>
      <c r="R4" s="206" t="s">
        <v>9</v>
      </c>
    </row>
    <row r="5" s="178" customFormat="1" ht="46" customHeight="1" spans="1:18">
      <c r="A5" s="192"/>
      <c r="B5" s="188"/>
      <c r="C5" s="189"/>
      <c r="D5" s="188" t="s">
        <v>10</v>
      </c>
      <c r="E5" s="188" t="s">
        <v>11</v>
      </c>
      <c r="F5" s="188" t="s">
        <v>12</v>
      </c>
      <c r="G5" s="188" t="s">
        <v>13</v>
      </c>
      <c r="H5" s="188" t="s">
        <v>14</v>
      </c>
      <c r="I5" s="188" t="s">
        <v>15</v>
      </c>
      <c r="J5" s="190" t="s">
        <v>16</v>
      </c>
      <c r="K5" s="207"/>
      <c r="L5" s="207" t="s">
        <v>17</v>
      </c>
      <c r="M5" s="188" t="s">
        <v>18</v>
      </c>
      <c r="N5" s="188" t="s">
        <v>19</v>
      </c>
      <c r="O5" s="188" t="s">
        <v>6</v>
      </c>
      <c r="P5" s="188" t="s">
        <v>20</v>
      </c>
      <c r="Q5" s="188"/>
      <c r="R5" s="206"/>
    </row>
    <row r="6" s="179" customFormat="1" ht="34" customHeight="1" spans="1:18">
      <c r="A6" s="193"/>
      <c r="B6" s="194" t="s">
        <v>21</v>
      </c>
      <c r="C6" s="189"/>
      <c r="D6" s="195"/>
      <c r="E6" s="195"/>
      <c r="F6" s="194">
        <f>F7+F25</f>
        <v>2268.71371938222</v>
      </c>
      <c r="G6" s="194"/>
      <c r="H6" s="194"/>
      <c r="I6" s="194"/>
      <c r="J6" s="208"/>
      <c r="K6" s="207"/>
      <c r="L6" s="207"/>
      <c r="M6" s="197">
        <v>1553.21</v>
      </c>
      <c r="N6" s="197" t="e">
        <f>N7+N25+#REF!</f>
        <v>#REF!</v>
      </c>
      <c r="O6" s="197" t="e">
        <f>O7+O25+#REF!</f>
        <v>#REF!</v>
      </c>
      <c r="P6" s="197" t="e">
        <f>P7+P25+#REF!</f>
        <v>#REF!</v>
      </c>
      <c r="Q6" s="197" t="e">
        <f>Q7+Q25+#REF!</f>
        <v>#REF!</v>
      </c>
      <c r="R6" s="215"/>
    </row>
    <row r="7" s="178" customFormat="1" ht="34" customHeight="1" spans="1:18">
      <c r="A7" s="196"/>
      <c r="B7" s="197" t="s">
        <v>22</v>
      </c>
      <c r="C7" s="198"/>
      <c r="D7" s="199"/>
      <c r="E7" s="199"/>
      <c r="F7" s="197">
        <f>F8+F10+F16</f>
        <v>2158.71371938222</v>
      </c>
      <c r="G7" s="197">
        <f>G8+G10</f>
        <v>1680.07571938222</v>
      </c>
      <c r="H7" s="197">
        <f>H8+H10+H16</f>
        <v>19.798</v>
      </c>
      <c r="I7" s="197">
        <f>I8+I10</f>
        <v>111</v>
      </c>
      <c r="J7" s="209" t="s">
        <v>23</v>
      </c>
      <c r="K7" s="210"/>
      <c r="L7" s="210"/>
      <c r="M7" s="197">
        <v>1243.7</v>
      </c>
      <c r="N7" s="197">
        <f t="shared" ref="N7:P7" si="0">N8+N10</f>
        <v>1759.7</v>
      </c>
      <c r="O7" s="197">
        <f t="shared" si="0"/>
        <v>1778.79</v>
      </c>
      <c r="P7" s="197">
        <f t="shared" si="0"/>
        <v>1958.79</v>
      </c>
      <c r="Q7" s="197">
        <f>Q8+Q10+Q16</f>
        <v>224.35</v>
      </c>
      <c r="R7" s="213"/>
    </row>
    <row r="8" s="178" customFormat="1" ht="34" customHeight="1" spans="1:18">
      <c r="A8" s="196"/>
      <c r="B8" s="197" t="s">
        <v>24</v>
      </c>
      <c r="C8" s="198">
        <f>SUM(C9)</f>
        <v>45</v>
      </c>
      <c r="D8" s="199">
        <f t="shared" ref="D8:J8" si="1">D9</f>
        <v>45</v>
      </c>
      <c r="E8" s="199">
        <f t="shared" si="1"/>
        <v>61</v>
      </c>
      <c r="F8" s="197">
        <f t="shared" si="1"/>
        <v>1049.42733648</v>
      </c>
      <c r="G8" s="197">
        <f t="shared" si="1"/>
        <v>968.57733648</v>
      </c>
      <c r="H8" s="197">
        <f t="shared" si="1"/>
        <v>13.35</v>
      </c>
      <c r="I8" s="197">
        <f t="shared" si="1"/>
        <v>67.5</v>
      </c>
      <c r="J8" s="208" t="str">
        <f t="shared" si="1"/>
        <v>-</v>
      </c>
      <c r="K8" s="207"/>
      <c r="L8" s="207"/>
      <c r="M8" s="197">
        <v>842.49</v>
      </c>
      <c r="N8" s="197">
        <f t="shared" ref="N8:Q8" si="2">SUM(N9)</f>
        <v>947.49</v>
      </c>
      <c r="O8" s="197">
        <f>O9</f>
        <v>932.6</v>
      </c>
      <c r="P8" s="197">
        <f t="shared" si="2"/>
        <v>1040.1</v>
      </c>
      <c r="Q8" s="197">
        <f t="shared" si="2"/>
        <v>92.6099999999999</v>
      </c>
      <c r="R8" s="213"/>
    </row>
    <row r="9" s="178" customFormat="1" ht="34" customHeight="1" spans="1:18">
      <c r="A9" s="196"/>
      <c r="B9" s="200" t="s">
        <v>25</v>
      </c>
      <c r="C9" s="201">
        <v>45</v>
      </c>
      <c r="D9" s="202">
        <v>45</v>
      </c>
      <c r="E9" s="202">
        <v>61</v>
      </c>
      <c r="F9" s="197">
        <f t="shared" ref="F9:F15" si="3">SUM(G9:I9)</f>
        <v>1049.42733648</v>
      </c>
      <c r="G9" s="200">
        <f>'[1]9工资福利支出'!D8</f>
        <v>968.57733648</v>
      </c>
      <c r="H9" s="200">
        <v>13.35</v>
      </c>
      <c r="I9" s="200">
        <f t="shared" ref="I9:I12" si="4">C9*1.5</f>
        <v>67.5</v>
      </c>
      <c r="J9" s="209" t="s">
        <v>23</v>
      </c>
      <c r="K9" s="210"/>
      <c r="L9" s="210"/>
      <c r="M9" s="200">
        <v>842.49</v>
      </c>
      <c r="N9" s="200">
        <f>M9+2.5*42</f>
        <v>947.49</v>
      </c>
      <c r="O9" s="200">
        <v>932.6</v>
      </c>
      <c r="P9" s="200">
        <f>O9+2.5*43</f>
        <v>1040.1</v>
      </c>
      <c r="Q9" s="200">
        <f t="shared" ref="Q9:Q15" si="5">P9-N9</f>
        <v>92.6099999999999</v>
      </c>
      <c r="R9" s="213"/>
    </row>
    <row r="10" s="178" customFormat="1" ht="34" customHeight="1" spans="1:18">
      <c r="A10" s="196"/>
      <c r="B10" s="197" t="s">
        <v>26</v>
      </c>
      <c r="C10" s="198">
        <f t="shared" ref="C10:I10" si="6">SUM(C11:C15)</f>
        <v>37</v>
      </c>
      <c r="D10" s="199">
        <f t="shared" si="6"/>
        <v>35</v>
      </c>
      <c r="E10" s="199">
        <f t="shared" si="6"/>
        <v>26</v>
      </c>
      <c r="F10" s="197">
        <f>SUM(G10:J10)</f>
        <v>757.858382902222</v>
      </c>
      <c r="G10" s="197">
        <f t="shared" si="6"/>
        <v>711.498382902222</v>
      </c>
      <c r="H10" s="197">
        <f t="shared" si="6"/>
        <v>2.86</v>
      </c>
      <c r="I10" s="197">
        <f t="shared" si="6"/>
        <v>43.5</v>
      </c>
      <c r="J10" s="209" t="s">
        <v>23</v>
      </c>
      <c r="K10" s="210"/>
      <c r="L10" s="210"/>
      <c r="M10" s="197">
        <f>SUM(M11:M15)</f>
        <v>308.51</v>
      </c>
      <c r="N10" s="197">
        <f t="shared" ref="N10:P10" si="7">SUM(N11:N15,N16)</f>
        <v>812.21</v>
      </c>
      <c r="O10" s="197">
        <f t="shared" si="7"/>
        <v>846.19</v>
      </c>
      <c r="P10" s="197">
        <f t="shared" si="7"/>
        <v>918.69</v>
      </c>
      <c r="Q10" s="197">
        <f>SUM(Q11:Q15)</f>
        <v>131.74</v>
      </c>
      <c r="R10" s="213"/>
    </row>
    <row r="11" s="178" customFormat="1" ht="34" customHeight="1" spans="1:18">
      <c r="A11" s="196"/>
      <c r="B11" s="200" t="s">
        <v>27</v>
      </c>
      <c r="C11" s="201">
        <v>26</v>
      </c>
      <c r="D11" s="202">
        <v>24</v>
      </c>
      <c r="E11" s="202">
        <v>19</v>
      </c>
      <c r="F11" s="197">
        <f t="shared" si="3"/>
        <v>517.733130302222</v>
      </c>
      <c r="G11" s="200">
        <f>'[1]9工资福利支出'!D9</f>
        <v>475.873130302222</v>
      </c>
      <c r="H11" s="200">
        <v>2.86</v>
      </c>
      <c r="I11" s="200">
        <f t="shared" si="4"/>
        <v>39</v>
      </c>
      <c r="J11" s="209" t="s">
        <v>23</v>
      </c>
      <c r="K11" s="210"/>
      <c r="L11" s="210"/>
      <c r="M11" s="200">
        <v>213.14</v>
      </c>
      <c r="N11" s="200">
        <f>416.14+2.5*17</f>
        <v>458.64</v>
      </c>
      <c r="O11" s="200">
        <v>473.89</v>
      </c>
      <c r="P11" s="200">
        <f>O11+2.5*26</f>
        <v>538.89</v>
      </c>
      <c r="Q11" s="200">
        <f t="shared" si="5"/>
        <v>80.25</v>
      </c>
      <c r="R11" s="213"/>
    </row>
    <row r="12" s="178" customFormat="1" ht="34" customHeight="1" spans="1:18">
      <c r="A12" s="196"/>
      <c r="B12" s="200" t="s">
        <v>28</v>
      </c>
      <c r="C12" s="201">
        <v>3</v>
      </c>
      <c r="D12" s="202">
        <v>3</v>
      </c>
      <c r="E12" s="202">
        <v>0</v>
      </c>
      <c r="F12" s="197">
        <f t="shared" si="3"/>
        <v>72.2918048</v>
      </c>
      <c r="G12" s="200">
        <f>'[1]9工资福利支出'!D10</f>
        <v>67.7918048</v>
      </c>
      <c r="H12" s="200">
        <v>0</v>
      </c>
      <c r="I12" s="200">
        <f t="shared" si="4"/>
        <v>4.5</v>
      </c>
      <c r="J12" s="209" t="s">
        <v>23</v>
      </c>
      <c r="K12" s="210"/>
      <c r="L12" s="210"/>
      <c r="M12" s="200">
        <v>26.98</v>
      </c>
      <c r="N12" s="200">
        <f>M12+2.5*3</f>
        <v>34.48</v>
      </c>
      <c r="O12" s="200">
        <v>41.57</v>
      </c>
      <c r="P12" s="200">
        <f>O12+2.5*3</f>
        <v>49.07</v>
      </c>
      <c r="Q12" s="200">
        <f t="shared" si="5"/>
        <v>14.59</v>
      </c>
      <c r="R12" s="206"/>
    </row>
    <row r="13" s="178" customFormat="1" ht="34" customHeight="1" spans="1:18">
      <c r="A13" s="196"/>
      <c r="B13" s="200" t="s">
        <v>29</v>
      </c>
      <c r="C13" s="201">
        <v>2</v>
      </c>
      <c r="D13" s="202">
        <v>2</v>
      </c>
      <c r="E13" s="202">
        <v>0</v>
      </c>
      <c r="F13" s="197">
        <f t="shared" si="3"/>
        <v>39.2888992</v>
      </c>
      <c r="G13" s="200">
        <f>'[1]9工资福利支出'!D13</f>
        <v>39.2888992</v>
      </c>
      <c r="H13" s="200">
        <v>0</v>
      </c>
      <c r="I13" s="200">
        <v>0</v>
      </c>
      <c r="J13" s="209" t="s">
        <v>23</v>
      </c>
      <c r="K13" s="210"/>
      <c r="L13" s="210"/>
      <c r="M13" s="200">
        <v>16.87</v>
      </c>
      <c r="N13" s="200">
        <v>16.87</v>
      </c>
      <c r="O13" s="200">
        <v>28.66</v>
      </c>
      <c r="P13" s="200">
        <f t="shared" ref="P13:P15" si="8">O13</f>
        <v>28.66</v>
      </c>
      <c r="Q13" s="200">
        <f t="shared" si="5"/>
        <v>11.79</v>
      </c>
      <c r="R13" s="206"/>
    </row>
    <row r="14" s="178" customFormat="1" ht="34" customHeight="1" spans="1:18">
      <c r="A14" s="196"/>
      <c r="B14" s="200" t="s">
        <v>30</v>
      </c>
      <c r="C14" s="201">
        <v>3</v>
      </c>
      <c r="D14" s="202">
        <v>3</v>
      </c>
      <c r="E14" s="202">
        <v>5</v>
      </c>
      <c r="F14" s="197">
        <f t="shared" si="3"/>
        <v>68.671358</v>
      </c>
      <c r="G14" s="200">
        <f>'[1]9工资福利支出'!D11</f>
        <v>68.671358</v>
      </c>
      <c r="H14" s="200">
        <v>0</v>
      </c>
      <c r="I14" s="200">
        <v>0</v>
      </c>
      <c r="J14" s="209" t="s">
        <v>23</v>
      </c>
      <c r="K14" s="210"/>
      <c r="L14" s="210"/>
      <c r="M14" s="200">
        <v>22.95</v>
      </c>
      <c r="N14" s="200">
        <v>22.95</v>
      </c>
      <c r="O14" s="200">
        <v>46.74</v>
      </c>
      <c r="P14" s="200">
        <f t="shared" si="8"/>
        <v>46.74</v>
      </c>
      <c r="Q14" s="200">
        <f t="shared" si="5"/>
        <v>23.79</v>
      </c>
      <c r="R14" s="206"/>
    </row>
    <row r="15" s="178" customFormat="1" ht="34" customHeight="1" spans="1:18">
      <c r="A15" s="196"/>
      <c r="B15" s="200" t="s">
        <v>31</v>
      </c>
      <c r="C15" s="201">
        <v>3</v>
      </c>
      <c r="D15" s="202">
        <v>3</v>
      </c>
      <c r="E15" s="202">
        <v>2</v>
      </c>
      <c r="F15" s="197">
        <f t="shared" si="3"/>
        <v>59.8731906</v>
      </c>
      <c r="G15" s="200">
        <f>'[1]9工资福利支出'!D12</f>
        <v>59.8731906</v>
      </c>
      <c r="H15" s="200">
        <v>0</v>
      </c>
      <c r="I15" s="200">
        <v>0</v>
      </c>
      <c r="J15" s="209" t="s">
        <v>23</v>
      </c>
      <c r="K15" s="210"/>
      <c r="L15" s="210"/>
      <c r="M15" s="200">
        <v>28.57</v>
      </c>
      <c r="N15" s="200">
        <v>28.57</v>
      </c>
      <c r="O15" s="200">
        <v>29.89</v>
      </c>
      <c r="P15" s="200">
        <f t="shared" si="8"/>
        <v>29.89</v>
      </c>
      <c r="Q15" s="200">
        <f t="shared" si="5"/>
        <v>1.32</v>
      </c>
      <c r="R15" s="206"/>
    </row>
    <row r="16" s="179" customFormat="1" ht="34" customHeight="1" spans="1:18">
      <c r="A16" s="193"/>
      <c r="B16" s="197" t="s">
        <v>32</v>
      </c>
      <c r="C16" s="198"/>
      <c r="D16" s="199"/>
      <c r="E16" s="199"/>
      <c r="F16" s="197">
        <f t="shared" ref="F16:F24" si="9">SUM(G16:L16)</f>
        <v>351.428</v>
      </c>
      <c r="G16" s="203" t="s">
        <v>23</v>
      </c>
      <c r="H16" s="197">
        <f t="shared" ref="H16:M16" si="10">SUM(H17:H24)</f>
        <v>3.588</v>
      </c>
      <c r="I16" s="203" t="s">
        <v>23</v>
      </c>
      <c r="J16" s="197">
        <f t="shared" si="10"/>
        <v>225.44</v>
      </c>
      <c r="K16" s="197">
        <f t="shared" si="10"/>
        <v>100</v>
      </c>
      <c r="L16" s="197">
        <f t="shared" si="10"/>
        <v>22.4</v>
      </c>
      <c r="M16" s="197">
        <f t="shared" si="10"/>
        <v>92.7</v>
      </c>
      <c r="N16" s="197">
        <v>250.7</v>
      </c>
      <c r="O16" s="197">
        <f t="shared" ref="O16:Q16" si="11">SUM(O17:O24)</f>
        <v>225.44</v>
      </c>
      <c r="P16" s="197">
        <f t="shared" si="11"/>
        <v>225.44</v>
      </c>
      <c r="Q16" s="197">
        <f t="shared" si="11"/>
        <v>0</v>
      </c>
      <c r="R16" s="216" t="s">
        <v>33</v>
      </c>
    </row>
    <row r="17" s="178" customFormat="1" ht="34" customHeight="1" spans="1:18">
      <c r="A17" s="196"/>
      <c r="B17" s="200" t="s">
        <v>34</v>
      </c>
      <c r="C17" s="201"/>
      <c r="D17" s="202"/>
      <c r="E17" s="202"/>
      <c r="F17" s="197">
        <f t="shared" si="9"/>
        <v>75.548</v>
      </c>
      <c r="G17" s="203" t="s">
        <v>23</v>
      </c>
      <c r="H17" s="200">
        <v>2.068</v>
      </c>
      <c r="I17" s="203" t="s">
        <v>23</v>
      </c>
      <c r="J17" s="200">
        <v>50.68</v>
      </c>
      <c r="K17" s="200">
        <v>22.8</v>
      </c>
      <c r="L17" s="200">
        <v>0</v>
      </c>
      <c r="M17" s="200">
        <v>5.88</v>
      </c>
      <c r="N17" s="200"/>
      <c r="O17" s="200">
        <v>50.68</v>
      </c>
      <c r="P17" s="200">
        <v>50.68</v>
      </c>
      <c r="Q17" s="200">
        <v>0</v>
      </c>
      <c r="R17" s="217"/>
    </row>
    <row r="18" s="178" customFormat="1" ht="34" customHeight="1" spans="1:18">
      <c r="A18" s="196"/>
      <c r="B18" s="200" t="s">
        <v>35</v>
      </c>
      <c r="C18" s="201"/>
      <c r="D18" s="202"/>
      <c r="E18" s="202"/>
      <c r="F18" s="197">
        <f t="shared" si="9"/>
        <v>79.28</v>
      </c>
      <c r="G18" s="203" t="s">
        <v>23</v>
      </c>
      <c r="H18" s="200">
        <v>0</v>
      </c>
      <c r="I18" s="203" t="s">
        <v>23</v>
      </c>
      <c r="J18" s="200">
        <v>56.48</v>
      </c>
      <c r="K18" s="200">
        <v>22.8</v>
      </c>
      <c r="L18" s="200">
        <v>0</v>
      </c>
      <c r="M18" s="200">
        <v>11.68</v>
      </c>
      <c r="N18" s="200"/>
      <c r="O18" s="200">
        <v>56.48</v>
      </c>
      <c r="P18" s="200">
        <v>56.48</v>
      </c>
      <c r="Q18" s="200">
        <v>0</v>
      </c>
      <c r="R18" s="217"/>
    </row>
    <row r="19" s="178" customFormat="1" ht="34" customHeight="1" spans="1:18">
      <c r="A19" s="196"/>
      <c r="B19" s="200" t="s">
        <v>36</v>
      </c>
      <c r="C19" s="201"/>
      <c r="D19" s="202"/>
      <c r="E19" s="202"/>
      <c r="F19" s="197">
        <f t="shared" si="9"/>
        <v>25.79</v>
      </c>
      <c r="G19" s="203" t="s">
        <v>23</v>
      </c>
      <c r="H19" s="200">
        <v>0</v>
      </c>
      <c r="I19" s="203" t="s">
        <v>23</v>
      </c>
      <c r="J19" s="200">
        <v>18.38</v>
      </c>
      <c r="K19" s="200">
        <v>7.41</v>
      </c>
      <c r="L19" s="200">
        <v>0</v>
      </c>
      <c r="M19" s="200">
        <v>9.26</v>
      </c>
      <c r="N19" s="200"/>
      <c r="O19" s="200">
        <v>18.38</v>
      </c>
      <c r="P19" s="200">
        <v>18.38</v>
      </c>
      <c r="Q19" s="200">
        <v>0</v>
      </c>
      <c r="R19" s="217"/>
    </row>
    <row r="20" s="178" customFormat="1" ht="34" customHeight="1" spans="1:18">
      <c r="A20" s="196" t="s">
        <v>37</v>
      </c>
      <c r="B20" s="200" t="s">
        <v>38</v>
      </c>
      <c r="C20" s="201"/>
      <c r="D20" s="202"/>
      <c r="E20" s="202"/>
      <c r="F20" s="197">
        <f t="shared" si="9"/>
        <v>72.2</v>
      </c>
      <c r="G20" s="203" t="s">
        <v>23</v>
      </c>
      <c r="H20" s="200">
        <v>0.8</v>
      </c>
      <c r="I20" s="203" t="s">
        <v>23</v>
      </c>
      <c r="J20" s="200">
        <v>37.6</v>
      </c>
      <c r="K20" s="200">
        <v>11.4</v>
      </c>
      <c r="L20" s="200">
        <v>22.4</v>
      </c>
      <c r="M20" s="200">
        <v>60</v>
      </c>
      <c r="N20" s="200"/>
      <c r="O20" s="200">
        <v>37.6</v>
      </c>
      <c r="P20" s="200">
        <v>37.6</v>
      </c>
      <c r="Q20" s="200">
        <v>0</v>
      </c>
      <c r="R20" s="217"/>
    </row>
    <row r="21" s="178" customFormat="1" ht="34" customHeight="1" spans="1:18">
      <c r="A21" s="196"/>
      <c r="B21" s="200" t="s">
        <v>39</v>
      </c>
      <c r="C21" s="201"/>
      <c r="D21" s="202"/>
      <c r="E21" s="202"/>
      <c r="F21" s="197">
        <f t="shared" si="9"/>
        <v>38.03</v>
      </c>
      <c r="G21" s="203" t="s">
        <v>23</v>
      </c>
      <c r="H21" s="200">
        <v>0</v>
      </c>
      <c r="I21" s="203" t="s">
        <v>23</v>
      </c>
      <c r="J21" s="200">
        <v>25.11</v>
      </c>
      <c r="K21" s="200">
        <v>12.92</v>
      </c>
      <c r="L21" s="200">
        <v>0</v>
      </c>
      <c r="M21" s="200">
        <v>1.75</v>
      </c>
      <c r="N21" s="200"/>
      <c r="O21" s="200">
        <v>25.11</v>
      </c>
      <c r="P21" s="200">
        <v>25.11</v>
      </c>
      <c r="Q21" s="200">
        <v>0</v>
      </c>
      <c r="R21" s="217"/>
    </row>
    <row r="22" s="178" customFormat="1" ht="34" customHeight="1" spans="1:18">
      <c r="A22" s="196"/>
      <c r="B22" s="200" t="s">
        <v>40</v>
      </c>
      <c r="C22" s="201"/>
      <c r="D22" s="202"/>
      <c r="E22" s="202"/>
      <c r="F22" s="197">
        <f t="shared" si="9"/>
        <v>28.625</v>
      </c>
      <c r="G22" s="203" t="s">
        <v>23</v>
      </c>
      <c r="H22" s="200">
        <v>0</v>
      </c>
      <c r="I22" s="203" t="s">
        <v>23</v>
      </c>
      <c r="J22" s="200">
        <v>15.17</v>
      </c>
      <c r="K22" s="201">
        <v>13.455</v>
      </c>
      <c r="L22" s="201">
        <v>0</v>
      </c>
      <c r="M22" s="200">
        <v>4.13</v>
      </c>
      <c r="N22" s="200"/>
      <c r="O22" s="200">
        <v>15.17</v>
      </c>
      <c r="P22" s="200">
        <v>15.17</v>
      </c>
      <c r="Q22" s="200">
        <v>0</v>
      </c>
      <c r="R22" s="217"/>
    </row>
    <row r="23" s="178" customFormat="1" ht="34" customHeight="1" spans="1:18">
      <c r="A23" s="196"/>
      <c r="B23" s="200" t="s">
        <v>41</v>
      </c>
      <c r="C23" s="201"/>
      <c r="D23" s="202"/>
      <c r="E23" s="202"/>
      <c r="F23" s="197">
        <f t="shared" si="9"/>
        <v>25.455</v>
      </c>
      <c r="G23" s="203" t="s">
        <v>23</v>
      </c>
      <c r="H23" s="200">
        <v>0.72</v>
      </c>
      <c r="I23" s="203" t="s">
        <v>23</v>
      </c>
      <c r="J23" s="200">
        <v>15.52</v>
      </c>
      <c r="K23" s="201">
        <v>9.215</v>
      </c>
      <c r="L23" s="201">
        <v>0</v>
      </c>
      <c r="M23" s="200">
        <v>0</v>
      </c>
      <c r="N23" s="200"/>
      <c r="O23" s="200">
        <v>15.52</v>
      </c>
      <c r="P23" s="200">
        <v>15.52</v>
      </c>
      <c r="Q23" s="200">
        <v>0</v>
      </c>
      <c r="R23" s="217"/>
    </row>
    <row r="24" s="178" customFormat="1" ht="34" customHeight="1" spans="1:18">
      <c r="A24" s="196"/>
      <c r="B24" s="200" t="s">
        <v>42</v>
      </c>
      <c r="C24" s="201"/>
      <c r="D24" s="202"/>
      <c r="E24" s="202"/>
      <c r="F24" s="197">
        <f t="shared" si="9"/>
        <v>6.5</v>
      </c>
      <c r="G24" s="203" t="s">
        <v>23</v>
      </c>
      <c r="H24" s="200">
        <v>0</v>
      </c>
      <c r="I24" s="203" t="s">
        <v>23</v>
      </c>
      <c r="J24" s="200">
        <v>6.5</v>
      </c>
      <c r="K24" s="211">
        <v>0</v>
      </c>
      <c r="L24" s="211">
        <v>0</v>
      </c>
      <c r="M24" s="200">
        <v>0</v>
      </c>
      <c r="N24" s="200"/>
      <c r="O24" s="200">
        <v>6.5</v>
      </c>
      <c r="P24" s="200">
        <v>6.5</v>
      </c>
      <c r="Q24" s="200">
        <v>0</v>
      </c>
      <c r="R24" s="218"/>
    </row>
    <row r="25" s="178" customFormat="1" ht="34" customHeight="1" spans="1:18">
      <c r="A25" s="196"/>
      <c r="B25" s="197" t="s">
        <v>43</v>
      </c>
      <c r="C25" s="198"/>
      <c r="D25" s="199"/>
      <c r="E25" s="199"/>
      <c r="F25" s="197">
        <f>SUM(F26:F27)</f>
        <v>110</v>
      </c>
      <c r="G25" s="197"/>
      <c r="H25" s="197"/>
      <c r="I25" s="197"/>
      <c r="J25" s="197"/>
      <c r="K25" s="212"/>
      <c r="L25" s="212"/>
      <c r="M25" s="197">
        <v>206.51</v>
      </c>
      <c r="N25" s="197">
        <f t="shared" ref="N25:P25" si="12">SUM(N26:N26)</f>
        <v>50</v>
      </c>
      <c r="O25" s="197">
        <f t="shared" si="12"/>
        <v>50</v>
      </c>
      <c r="P25" s="197">
        <f t="shared" si="12"/>
        <v>50</v>
      </c>
      <c r="Q25" s="197">
        <f>SUM(Q26:Q27)</f>
        <v>0</v>
      </c>
      <c r="R25" s="213"/>
    </row>
    <row r="26" s="178" customFormat="1" ht="34" customHeight="1" spans="1:18">
      <c r="A26" s="196"/>
      <c r="B26" s="200" t="s">
        <v>44</v>
      </c>
      <c r="C26" s="201"/>
      <c r="D26" s="202"/>
      <c r="E26" s="202"/>
      <c r="F26" s="197">
        <v>50</v>
      </c>
      <c r="G26" s="200"/>
      <c r="H26" s="200"/>
      <c r="I26" s="200"/>
      <c r="J26" s="200"/>
      <c r="K26" s="211"/>
      <c r="L26" s="211"/>
      <c r="M26" s="200">
        <v>50</v>
      </c>
      <c r="N26" s="200">
        <v>50</v>
      </c>
      <c r="O26" s="200">
        <v>50</v>
      </c>
      <c r="P26" s="200">
        <v>50</v>
      </c>
      <c r="Q26" s="200">
        <v>0</v>
      </c>
      <c r="R26" s="213"/>
    </row>
    <row r="27" s="178" customFormat="1" ht="34" customHeight="1" spans="2:18">
      <c r="B27" s="200" t="s">
        <v>45</v>
      </c>
      <c r="C27" s="201">
        <v>6</v>
      </c>
      <c r="D27" s="202">
        <v>6</v>
      </c>
      <c r="E27" s="202"/>
      <c r="F27" s="197">
        <v>60</v>
      </c>
      <c r="G27" s="200"/>
      <c r="H27" s="200"/>
      <c r="I27" s="200"/>
      <c r="J27" s="200"/>
      <c r="K27" s="211"/>
      <c r="L27" s="211"/>
      <c r="M27" s="213"/>
      <c r="N27" s="200"/>
      <c r="O27" s="200"/>
      <c r="P27" s="200"/>
      <c r="Q27" s="200"/>
      <c r="R27" s="213"/>
    </row>
  </sheetData>
  <mergeCells count="25">
    <mergeCell ref="B1:R1"/>
    <mergeCell ref="B3:E3"/>
    <mergeCell ref="F3:H3"/>
    <mergeCell ref="L3:R3"/>
    <mergeCell ref="D4:E4"/>
    <mergeCell ref="F4:K4"/>
    <mergeCell ref="M4:N4"/>
    <mergeCell ref="O4:P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B4:B5"/>
    <mergeCell ref="C4:C5"/>
    <mergeCell ref="Q4:Q5"/>
    <mergeCell ref="R4:R5"/>
    <mergeCell ref="R12:R15"/>
    <mergeCell ref="R16:R24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7"/>
  <sheetViews>
    <sheetView workbookViewId="0">
      <selection activeCell="A1" sqref="$A1:$XFD1048576"/>
    </sheetView>
  </sheetViews>
  <sheetFormatPr defaultColWidth="9" defaultRowHeight="14.4"/>
  <cols>
    <col min="1" max="1" width="3.62962962962963" style="146" customWidth="1"/>
    <col min="2" max="3" width="10.1296296296296" style="146" customWidth="1"/>
    <col min="4" max="4" width="7.12962962962963" style="146" customWidth="1"/>
    <col min="5" max="5" width="6.5" style="146" customWidth="1"/>
    <col min="6" max="6" width="7.25" style="146" customWidth="1"/>
    <col min="7" max="8" width="6.62962962962963" style="146" customWidth="1"/>
    <col min="9" max="9" width="6.75" style="146" customWidth="1"/>
    <col min="10" max="10" width="7.37962962962963" style="146" customWidth="1"/>
    <col min="11" max="11" width="7.87962962962963" style="146" customWidth="1"/>
    <col min="12" max="12" width="7.62962962962963" style="146" customWidth="1"/>
    <col min="13" max="13" width="9" style="146"/>
    <col min="14" max="14" width="7.87962962962963" style="146" customWidth="1"/>
    <col min="15" max="21" width="9" style="146"/>
    <col min="22" max="22" width="10.3796296296296" style="146"/>
    <col min="23" max="24" width="9.25" style="146"/>
    <col min="25" max="25" width="12" style="146" customWidth="1"/>
    <col min="26" max="26" width="9" style="146"/>
    <col min="27" max="27" width="9.25" style="146"/>
    <col min="28" max="28" width="10.25" style="146" customWidth="1"/>
    <col min="29" max="29" width="9.25" style="146"/>
    <col min="30" max="30" width="9" style="146"/>
    <col min="31" max="31" width="8.87962962962963" style="146" customWidth="1"/>
    <col min="32" max="32" width="11.5" style="146" customWidth="1"/>
    <col min="33" max="33" width="8.5" style="146" customWidth="1"/>
    <col min="34" max="34" width="10.6296296296296" style="146" customWidth="1"/>
    <col min="35" max="40" width="9" style="146" customWidth="1"/>
    <col min="41" max="41" width="14.1296296296296" style="146" customWidth="1"/>
    <col min="42" max="43" width="15.1296296296296" style="146" customWidth="1"/>
    <col min="44" max="44" width="16.25" style="146" customWidth="1"/>
    <col min="45" max="16384" width="9" style="146"/>
  </cols>
  <sheetData>
    <row r="1" s="146" customFormat="1" ht="33.95" customHeight="1" spans="1:40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="146" customFormat="1" ht="21" customHeight="1" spans="1:24">
      <c r="A2" s="151" t="s">
        <v>46</v>
      </c>
      <c r="B2" s="151"/>
      <c r="C2" s="151"/>
      <c r="D2" s="151"/>
      <c r="E2" s="152" t="s">
        <v>47</v>
      </c>
      <c r="F2" s="152"/>
      <c r="G2" s="152"/>
      <c r="H2" s="152"/>
      <c r="I2" s="152"/>
      <c r="J2" s="152"/>
      <c r="T2" s="151" t="s">
        <v>48</v>
      </c>
      <c r="U2" s="151"/>
      <c r="V2" s="162"/>
      <c r="W2" s="162"/>
      <c r="X2" s="162"/>
    </row>
    <row r="3" s="146" customFormat="1" spans="1:44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="147" customFormat="1" ht="28.8" spans="1:44">
      <c r="A4" s="154" t="s">
        <v>49</v>
      </c>
      <c r="B4" s="154" t="s">
        <v>50</v>
      </c>
      <c r="C4" s="155" t="s">
        <v>21</v>
      </c>
      <c r="D4" s="154" t="s">
        <v>51</v>
      </c>
      <c r="E4" s="154"/>
      <c r="F4" s="154"/>
      <c r="G4" s="154" t="s">
        <v>52</v>
      </c>
      <c r="H4" s="154"/>
      <c r="I4" s="154"/>
      <c r="J4" s="154"/>
      <c r="K4" s="154"/>
      <c r="L4" s="159" t="s">
        <v>53</v>
      </c>
      <c r="M4" s="160"/>
      <c r="N4" s="160"/>
      <c r="O4" s="160"/>
      <c r="P4" s="160"/>
      <c r="Q4" s="160"/>
      <c r="R4" s="160"/>
      <c r="S4" s="160"/>
      <c r="T4" s="163"/>
      <c r="U4" s="154" t="s">
        <v>54</v>
      </c>
      <c r="V4" s="159" t="s">
        <v>55</v>
      </c>
      <c r="W4" s="160"/>
      <c r="X4" s="160"/>
      <c r="Y4" s="160"/>
      <c r="Z4" s="160"/>
      <c r="AA4" s="160"/>
      <c r="AB4" s="160"/>
      <c r="AC4" s="160"/>
      <c r="AD4" s="163"/>
      <c r="AE4" s="160" t="s">
        <v>56</v>
      </c>
      <c r="AF4" s="160"/>
      <c r="AG4" s="160"/>
      <c r="AH4" s="160"/>
      <c r="AI4" s="160"/>
      <c r="AJ4" s="160"/>
      <c r="AK4" s="160"/>
      <c r="AL4" s="163"/>
      <c r="AM4" s="154" t="s">
        <v>57</v>
      </c>
      <c r="AN4" s="154" t="s">
        <v>58</v>
      </c>
      <c r="AO4" s="154" t="s">
        <v>59</v>
      </c>
      <c r="AP4" s="154" t="s">
        <v>60</v>
      </c>
      <c r="AQ4" s="154" t="s">
        <v>61</v>
      </c>
      <c r="AR4" s="154" t="s">
        <v>62</v>
      </c>
    </row>
    <row r="5" s="146" customFormat="1" ht="14.1" customHeight="1" spans="1:44">
      <c r="A5" s="156"/>
      <c r="B5" s="156"/>
      <c r="C5" s="157"/>
      <c r="D5" s="156" t="s">
        <v>12</v>
      </c>
      <c r="E5" s="156" t="s">
        <v>63</v>
      </c>
      <c r="F5" s="156" t="s">
        <v>64</v>
      </c>
      <c r="G5" s="156" t="s">
        <v>12</v>
      </c>
      <c r="H5" s="156" t="s">
        <v>65</v>
      </c>
      <c r="I5" s="156"/>
      <c r="J5" s="156" t="s">
        <v>66</v>
      </c>
      <c r="K5" s="156"/>
      <c r="L5" s="156" t="s">
        <v>12</v>
      </c>
      <c r="M5" s="156" t="s">
        <v>67</v>
      </c>
      <c r="N5" s="156" t="s">
        <v>68</v>
      </c>
      <c r="O5" s="156" t="s">
        <v>69</v>
      </c>
      <c r="P5" s="156" t="s">
        <v>70</v>
      </c>
      <c r="Q5" s="156" t="s">
        <v>71</v>
      </c>
      <c r="R5" s="164" t="s">
        <v>72</v>
      </c>
      <c r="S5" s="156" t="s">
        <v>73</v>
      </c>
      <c r="T5" s="156" t="s">
        <v>74</v>
      </c>
      <c r="U5" s="156" t="s">
        <v>75</v>
      </c>
      <c r="V5" s="156" t="s">
        <v>12</v>
      </c>
      <c r="W5" s="156" t="s">
        <v>76</v>
      </c>
      <c r="X5" s="156" t="s">
        <v>77</v>
      </c>
      <c r="Y5" s="156" t="s">
        <v>78</v>
      </c>
      <c r="Z5" s="156"/>
      <c r="AA5" s="156"/>
      <c r="AB5" s="156" t="s">
        <v>79</v>
      </c>
      <c r="AC5" s="156" t="s">
        <v>80</v>
      </c>
      <c r="AD5" s="156" t="s">
        <v>81</v>
      </c>
      <c r="AE5" s="164" t="s">
        <v>21</v>
      </c>
      <c r="AF5" s="156" t="s">
        <v>82</v>
      </c>
      <c r="AG5" s="168" t="s">
        <v>83</v>
      </c>
      <c r="AH5" s="169"/>
      <c r="AI5" s="169"/>
      <c r="AJ5" s="169"/>
      <c r="AK5" s="169"/>
      <c r="AL5" s="170"/>
      <c r="AM5" s="156" t="s">
        <v>84</v>
      </c>
      <c r="AN5" s="171" t="s">
        <v>85</v>
      </c>
      <c r="AO5" s="175" t="s">
        <v>86</v>
      </c>
      <c r="AP5" s="175" t="s">
        <v>87</v>
      </c>
      <c r="AQ5" s="176" t="s">
        <v>88</v>
      </c>
      <c r="AR5" s="156" t="s">
        <v>89</v>
      </c>
    </row>
    <row r="6" s="146" customFormat="1" ht="29.1" customHeight="1" spans="1:44">
      <c r="A6" s="156"/>
      <c r="B6" s="156"/>
      <c r="C6" s="158"/>
      <c r="D6" s="156"/>
      <c r="E6" s="156"/>
      <c r="F6" s="156"/>
      <c r="G6" s="156"/>
      <c r="H6" s="156" t="s">
        <v>90</v>
      </c>
      <c r="I6" s="161" t="s">
        <v>91</v>
      </c>
      <c r="J6" s="156" t="s">
        <v>92</v>
      </c>
      <c r="K6" s="161" t="s">
        <v>93</v>
      </c>
      <c r="L6" s="156"/>
      <c r="M6" s="156"/>
      <c r="N6" s="156"/>
      <c r="O6" s="156"/>
      <c r="P6" s="156"/>
      <c r="Q6" s="156"/>
      <c r="R6" s="165"/>
      <c r="S6" s="156"/>
      <c r="T6" s="156"/>
      <c r="U6" s="156"/>
      <c r="V6" s="156"/>
      <c r="W6" s="156"/>
      <c r="X6" s="156"/>
      <c r="Y6" s="156" t="s">
        <v>94</v>
      </c>
      <c r="Z6" s="156" t="s">
        <v>95</v>
      </c>
      <c r="AA6" s="156" t="s">
        <v>96</v>
      </c>
      <c r="AB6" s="156"/>
      <c r="AC6" s="156"/>
      <c r="AD6" s="156"/>
      <c r="AE6" s="165"/>
      <c r="AF6" s="156"/>
      <c r="AG6" s="156" t="s">
        <v>12</v>
      </c>
      <c r="AH6" s="161" t="s">
        <v>97</v>
      </c>
      <c r="AI6" s="161" t="s">
        <v>98</v>
      </c>
      <c r="AJ6" s="161" t="s">
        <v>99</v>
      </c>
      <c r="AK6" s="161" t="s">
        <v>100</v>
      </c>
      <c r="AL6" s="161" t="s">
        <v>101</v>
      </c>
      <c r="AM6" s="156"/>
      <c r="AN6" s="172"/>
      <c r="AO6" s="175"/>
      <c r="AP6" s="175"/>
      <c r="AQ6" s="177"/>
      <c r="AR6" s="156"/>
    </row>
    <row r="7" s="148" customFormat="1" ht="30" customHeight="1" spans="1:44">
      <c r="A7" s="153"/>
      <c r="B7" s="153" t="s">
        <v>21</v>
      </c>
      <c r="C7" s="153">
        <f t="shared" ref="C7:AR7" si="0">SUM(C8:C20)</f>
        <v>18670</v>
      </c>
      <c r="D7" s="153">
        <f t="shared" si="0"/>
        <v>0</v>
      </c>
      <c r="E7" s="153">
        <f t="shared" si="0"/>
        <v>0</v>
      </c>
      <c r="F7" s="153">
        <f t="shared" si="0"/>
        <v>0</v>
      </c>
      <c r="G7" s="153">
        <f t="shared" si="0"/>
        <v>18670</v>
      </c>
      <c r="H7" s="153">
        <f t="shared" si="0"/>
        <v>7240</v>
      </c>
      <c r="I7" s="153">
        <f t="shared" si="0"/>
        <v>4842</v>
      </c>
      <c r="J7" s="153">
        <f t="shared" si="0"/>
        <v>4578</v>
      </c>
      <c r="K7" s="153">
        <f t="shared" si="0"/>
        <v>2010</v>
      </c>
      <c r="L7" s="153">
        <f t="shared" si="0"/>
        <v>2444</v>
      </c>
      <c r="M7" s="153">
        <f t="shared" si="0"/>
        <v>0</v>
      </c>
      <c r="N7" s="153">
        <f t="shared" si="0"/>
        <v>600</v>
      </c>
      <c r="O7" s="153">
        <f t="shared" si="0"/>
        <v>800</v>
      </c>
      <c r="P7" s="153">
        <f t="shared" si="0"/>
        <v>0</v>
      </c>
      <c r="Q7" s="153">
        <f t="shared" si="0"/>
        <v>224</v>
      </c>
      <c r="R7" s="153">
        <f t="shared" si="0"/>
        <v>20</v>
      </c>
      <c r="S7" s="153">
        <f t="shared" si="0"/>
        <v>0</v>
      </c>
      <c r="T7" s="153">
        <f t="shared" si="0"/>
        <v>800</v>
      </c>
      <c r="U7" s="153">
        <f t="shared" si="0"/>
        <v>2880</v>
      </c>
      <c r="V7" s="153">
        <f t="shared" si="0"/>
        <v>8513.676</v>
      </c>
      <c r="W7" s="153">
        <f t="shared" si="0"/>
        <v>3839.04</v>
      </c>
      <c r="X7" s="153">
        <f t="shared" si="0"/>
        <v>1919.52</v>
      </c>
      <c r="Y7" s="153">
        <f t="shared" si="0"/>
        <v>1679.58</v>
      </c>
      <c r="Z7" s="153">
        <f t="shared" si="0"/>
        <v>119.97</v>
      </c>
      <c r="AA7" s="153">
        <f t="shared" si="0"/>
        <v>739.62</v>
      </c>
      <c r="AB7" s="153">
        <f t="shared" si="0"/>
        <v>0</v>
      </c>
      <c r="AC7" s="153">
        <f t="shared" si="0"/>
        <v>167.958</v>
      </c>
      <c r="AD7" s="153">
        <f t="shared" si="0"/>
        <v>47.988</v>
      </c>
      <c r="AE7" s="153">
        <f t="shared" si="0"/>
        <v>174465.15</v>
      </c>
      <c r="AF7" s="153">
        <f t="shared" si="0"/>
        <v>12082</v>
      </c>
      <c r="AG7" s="153">
        <f t="shared" si="0"/>
        <v>162383.15</v>
      </c>
      <c r="AH7" s="153">
        <f t="shared" si="0"/>
        <v>32476.63</v>
      </c>
      <c r="AI7" s="153">
        <f t="shared" si="0"/>
        <v>32476.63</v>
      </c>
      <c r="AJ7" s="153">
        <f t="shared" si="0"/>
        <v>32476.63</v>
      </c>
      <c r="AK7" s="153">
        <f t="shared" si="0"/>
        <v>32476.63</v>
      </c>
      <c r="AL7" s="153">
        <f t="shared" si="0"/>
        <v>32476.63</v>
      </c>
      <c r="AM7" s="153">
        <f t="shared" si="0"/>
        <v>1600</v>
      </c>
      <c r="AN7" s="153">
        <f t="shared" si="0"/>
        <v>14974.644</v>
      </c>
      <c r="AO7" s="153">
        <f t="shared" si="0"/>
        <v>23994</v>
      </c>
      <c r="AP7" s="153">
        <f t="shared" si="0"/>
        <v>34107.676</v>
      </c>
      <c r="AQ7" s="153">
        <f t="shared" si="0"/>
        <v>409292.112</v>
      </c>
      <c r="AR7" s="153">
        <f t="shared" si="0"/>
        <v>598731.906</v>
      </c>
    </row>
    <row r="8" s="146" customFormat="1" ht="18.95" customHeight="1" spans="1:44">
      <c r="A8" s="156">
        <v>1</v>
      </c>
      <c r="B8" s="156" t="s">
        <v>102</v>
      </c>
      <c r="C8" s="156">
        <f t="shared" ref="C8:C13" si="1">D8+G8</f>
        <v>6637</v>
      </c>
      <c r="D8" s="156">
        <f t="shared" ref="D8:D13" si="2">SUM(E8:F8)</f>
        <v>0</v>
      </c>
      <c r="E8" s="156">
        <v>0</v>
      </c>
      <c r="F8" s="156">
        <v>0</v>
      </c>
      <c r="G8" s="156">
        <f t="shared" ref="G8:G13" si="3">SUM(H8:K8)</f>
        <v>6637</v>
      </c>
      <c r="H8" s="156">
        <v>2200</v>
      </c>
      <c r="I8" s="156">
        <v>2712</v>
      </c>
      <c r="J8" s="156">
        <v>1035</v>
      </c>
      <c r="K8" s="156">
        <v>690</v>
      </c>
      <c r="L8" s="156">
        <f t="shared" ref="L8:L13" si="4">SUM(M8:T8)</f>
        <v>663</v>
      </c>
      <c r="M8" s="156">
        <v>0</v>
      </c>
      <c r="N8" s="156">
        <v>207</v>
      </c>
      <c r="O8" s="156">
        <v>200</v>
      </c>
      <c r="P8" s="156">
        <v>0</v>
      </c>
      <c r="Q8" s="156">
        <v>56</v>
      </c>
      <c r="R8" s="156">
        <v>0</v>
      </c>
      <c r="S8" s="156">
        <v>0</v>
      </c>
      <c r="T8" s="156">
        <v>200</v>
      </c>
      <c r="U8" s="156">
        <v>996</v>
      </c>
      <c r="V8" s="166">
        <f t="shared" ref="V8:V13" si="5">SUM(W8:AD8)</f>
        <v>2687.904</v>
      </c>
      <c r="W8" s="156">
        <f t="shared" ref="W8:W11" si="6">AO8*0.16</f>
        <v>1327.36</v>
      </c>
      <c r="X8" s="156">
        <f t="shared" ref="X8:X11" si="7">AO8*0.08</f>
        <v>663.68</v>
      </c>
      <c r="Y8" s="156">
        <f t="shared" ref="Y8:Y11" si="8">AO8*0.07</f>
        <v>580.72</v>
      </c>
      <c r="Z8" s="156">
        <f t="shared" ref="Z8:Z11" si="9">AO8*0.5%</f>
        <v>41.48</v>
      </c>
      <c r="AA8" s="156">
        <v>0</v>
      </c>
      <c r="AB8" s="156">
        <v>0</v>
      </c>
      <c r="AC8" s="156">
        <f t="shared" ref="AC8:AC11" si="10">AO8*0.7%</f>
        <v>58.072</v>
      </c>
      <c r="AD8" s="156">
        <f t="shared" ref="AD8:AD11" si="11">AO8*0.2%</f>
        <v>16.592</v>
      </c>
      <c r="AE8" s="156">
        <f t="shared" ref="AE8:AE13" si="12">AF8+AG8</f>
        <v>56666.6</v>
      </c>
      <c r="AF8" s="156">
        <f t="shared" ref="AF8:AF13" si="13">H8+I8</f>
        <v>4912</v>
      </c>
      <c r="AG8" s="156">
        <f t="shared" ref="AG8:AG13" si="14">SUM(AH8:AL8)</f>
        <v>51754.6</v>
      </c>
      <c r="AH8" s="173">
        <v>10350.92</v>
      </c>
      <c r="AI8" s="173">
        <v>10350.92</v>
      </c>
      <c r="AJ8" s="173">
        <v>10350.92</v>
      </c>
      <c r="AK8" s="173">
        <v>10350.92</v>
      </c>
      <c r="AL8" s="173">
        <v>10350.92</v>
      </c>
      <c r="AM8" s="156">
        <v>400</v>
      </c>
      <c r="AN8" s="156">
        <f t="shared" ref="AN8:AN11" si="15">AE8*0.12</f>
        <v>6799.992</v>
      </c>
      <c r="AO8" s="156">
        <f t="shared" ref="AO8:AO13" si="16">C8+L8+U8</f>
        <v>8296</v>
      </c>
      <c r="AP8" s="156">
        <f t="shared" ref="AP8:AP13" si="17">AO8+V8+AM8</f>
        <v>11383.904</v>
      </c>
      <c r="AQ8" s="156">
        <f t="shared" ref="AQ8:AQ13" si="18">AP8*12</f>
        <v>136606.848</v>
      </c>
      <c r="AR8" s="156">
        <f t="shared" ref="AR8:AR13" si="19">AP8*12+AE8+AN8</f>
        <v>200073.44</v>
      </c>
    </row>
    <row r="9" s="146" customFormat="1" ht="18.95" customHeight="1" spans="1:44">
      <c r="A9" s="156">
        <v>2</v>
      </c>
      <c r="B9" s="156" t="s">
        <v>103</v>
      </c>
      <c r="C9" s="156">
        <f t="shared" si="1"/>
        <v>4774</v>
      </c>
      <c r="D9" s="156">
        <f t="shared" si="2"/>
        <v>0</v>
      </c>
      <c r="E9" s="156">
        <v>0</v>
      </c>
      <c r="F9" s="156">
        <v>0</v>
      </c>
      <c r="G9" s="156">
        <f t="shared" si="3"/>
        <v>4774</v>
      </c>
      <c r="H9" s="156">
        <v>1640</v>
      </c>
      <c r="I9" s="156">
        <v>1438</v>
      </c>
      <c r="J9" s="156">
        <v>1018</v>
      </c>
      <c r="K9" s="156">
        <v>678</v>
      </c>
      <c r="L9" s="156">
        <f t="shared" si="4"/>
        <v>609</v>
      </c>
      <c r="M9" s="156">
        <v>0</v>
      </c>
      <c r="N9" s="156">
        <v>153</v>
      </c>
      <c r="O9" s="156">
        <v>200</v>
      </c>
      <c r="P9" s="156">
        <v>0</v>
      </c>
      <c r="Q9" s="156">
        <v>56</v>
      </c>
      <c r="R9" s="156">
        <v>0</v>
      </c>
      <c r="S9" s="156">
        <v>0</v>
      </c>
      <c r="T9" s="156">
        <v>200</v>
      </c>
      <c r="U9" s="156">
        <v>734</v>
      </c>
      <c r="V9" s="166">
        <f t="shared" si="5"/>
        <v>1981.908</v>
      </c>
      <c r="W9" s="156">
        <f t="shared" si="6"/>
        <v>978.72</v>
      </c>
      <c r="X9" s="156">
        <f t="shared" si="7"/>
        <v>489.36</v>
      </c>
      <c r="Y9" s="156">
        <f t="shared" si="8"/>
        <v>428.19</v>
      </c>
      <c r="Z9" s="156">
        <f t="shared" si="9"/>
        <v>30.585</v>
      </c>
      <c r="AA9" s="167">
        <v>0</v>
      </c>
      <c r="AB9" s="156">
        <v>0</v>
      </c>
      <c r="AC9" s="156">
        <f t="shared" si="10"/>
        <v>42.819</v>
      </c>
      <c r="AD9" s="156">
        <f t="shared" si="11"/>
        <v>12.234</v>
      </c>
      <c r="AE9" s="156">
        <f t="shared" si="12"/>
        <v>41192.6</v>
      </c>
      <c r="AF9" s="156">
        <f t="shared" si="13"/>
        <v>3078</v>
      </c>
      <c r="AG9" s="156">
        <f t="shared" si="14"/>
        <v>38114.6</v>
      </c>
      <c r="AH9" s="174">
        <v>7622.92</v>
      </c>
      <c r="AI9" s="174">
        <v>7622.92</v>
      </c>
      <c r="AJ9" s="174">
        <v>7622.92</v>
      </c>
      <c r="AK9" s="174">
        <v>7622.92</v>
      </c>
      <c r="AL9" s="174">
        <v>7622.92</v>
      </c>
      <c r="AM9" s="156">
        <v>400</v>
      </c>
      <c r="AN9" s="156">
        <f t="shared" si="15"/>
        <v>4943.112</v>
      </c>
      <c r="AO9" s="156">
        <f t="shared" si="16"/>
        <v>6117</v>
      </c>
      <c r="AP9" s="156">
        <f t="shared" si="17"/>
        <v>8498.908</v>
      </c>
      <c r="AQ9" s="156">
        <f t="shared" si="18"/>
        <v>101986.896</v>
      </c>
      <c r="AR9" s="156">
        <f t="shared" si="19"/>
        <v>148122.608</v>
      </c>
    </row>
    <row r="10" s="146" customFormat="1" ht="18.95" customHeight="1" spans="1:44">
      <c r="A10" s="156">
        <v>3</v>
      </c>
      <c r="B10" s="156" t="s">
        <v>104</v>
      </c>
      <c r="C10" s="156">
        <f t="shared" si="1"/>
        <v>3340</v>
      </c>
      <c r="D10" s="156">
        <f t="shared" si="2"/>
        <v>0</v>
      </c>
      <c r="E10" s="156">
        <v>0</v>
      </c>
      <c r="F10" s="156">
        <v>0</v>
      </c>
      <c r="G10" s="156">
        <f t="shared" si="3"/>
        <v>3340</v>
      </c>
      <c r="H10" s="156">
        <v>1780</v>
      </c>
      <c r="I10" s="156">
        <v>0</v>
      </c>
      <c r="J10" s="156">
        <v>1560</v>
      </c>
      <c r="K10" s="156">
        <v>0</v>
      </c>
      <c r="L10" s="156">
        <f t="shared" si="4"/>
        <v>588</v>
      </c>
      <c r="M10" s="156">
        <v>0</v>
      </c>
      <c r="N10" s="156">
        <v>112</v>
      </c>
      <c r="O10" s="156">
        <v>200</v>
      </c>
      <c r="P10" s="156">
        <v>0</v>
      </c>
      <c r="Q10" s="156">
        <v>56</v>
      </c>
      <c r="R10" s="156">
        <v>20</v>
      </c>
      <c r="S10" s="156">
        <v>0</v>
      </c>
      <c r="T10" s="156">
        <v>200</v>
      </c>
      <c r="U10" s="156">
        <v>536</v>
      </c>
      <c r="V10" s="166">
        <f t="shared" si="5"/>
        <v>1446.336</v>
      </c>
      <c r="W10" s="156">
        <f t="shared" si="6"/>
        <v>714.24</v>
      </c>
      <c r="X10" s="156">
        <f t="shared" si="7"/>
        <v>357.12</v>
      </c>
      <c r="Y10" s="156">
        <f t="shared" si="8"/>
        <v>312.48</v>
      </c>
      <c r="Z10" s="156">
        <f t="shared" si="9"/>
        <v>22.32</v>
      </c>
      <c r="AA10" s="167">
        <v>0</v>
      </c>
      <c r="AB10" s="156">
        <v>0</v>
      </c>
      <c r="AC10" s="156">
        <f t="shared" si="10"/>
        <v>31.248</v>
      </c>
      <c r="AD10" s="156">
        <f t="shared" si="11"/>
        <v>8.928</v>
      </c>
      <c r="AE10" s="156">
        <f t="shared" si="12"/>
        <v>20020</v>
      </c>
      <c r="AF10" s="156">
        <f t="shared" si="13"/>
        <v>1780</v>
      </c>
      <c r="AG10" s="156">
        <f t="shared" si="14"/>
        <v>18240</v>
      </c>
      <c r="AH10" s="173">
        <v>3648</v>
      </c>
      <c r="AI10" s="173">
        <v>3648</v>
      </c>
      <c r="AJ10" s="173">
        <v>3648</v>
      </c>
      <c r="AK10" s="173">
        <v>3648</v>
      </c>
      <c r="AL10" s="173">
        <v>3648</v>
      </c>
      <c r="AM10" s="156">
        <v>400</v>
      </c>
      <c r="AN10" s="156">
        <f t="shared" si="15"/>
        <v>2402.4</v>
      </c>
      <c r="AO10" s="156">
        <f t="shared" si="16"/>
        <v>4464</v>
      </c>
      <c r="AP10" s="156">
        <f t="shared" si="17"/>
        <v>6310.336</v>
      </c>
      <c r="AQ10" s="156">
        <f t="shared" si="18"/>
        <v>75724.032</v>
      </c>
      <c r="AR10" s="156">
        <f t="shared" si="19"/>
        <v>98146.432</v>
      </c>
    </row>
    <row r="11" s="146" customFormat="1" ht="18.95" customHeight="1" spans="1:44">
      <c r="A11" s="156">
        <v>4</v>
      </c>
      <c r="B11" s="156" t="s">
        <v>105</v>
      </c>
      <c r="C11" s="156">
        <f t="shared" si="1"/>
        <v>3919</v>
      </c>
      <c r="D11" s="156">
        <f t="shared" si="2"/>
        <v>0</v>
      </c>
      <c r="E11" s="156">
        <v>0</v>
      </c>
      <c r="F11" s="156">
        <v>0</v>
      </c>
      <c r="G11" s="156">
        <f t="shared" si="3"/>
        <v>3919</v>
      </c>
      <c r="H11" s="156">
        <v>1620</v>
      </c>
      <c r="I11" s="156">
        <v>692</v>
      </c>
      <c r="J11" s="156">
        <v>965</v>
      </c>
      <c r="K11" s="156">
        <v>642</v>
      </c>
      <c r="L11" s="156">
        <f t="shared" si="4"/>
        <v>584</v>
      </c>
      <c r="M11" s="156">
        <v>0</v>
      </c>
      <c r="N11" s="156">
        <v>128</v>
      </c>
      <c r="O11" s="156">
        <v>200</v>
      </c>
      <c r="P11" s="156">
        <v>0</v>
      </c>
      <c r="Q11" s="156">
        <v>56</v>
      </c>
      <c r="R11" s="156">
        <v>0</v>
      </c>
      <c r="S11" s="156">
        <v>0</v>
      </c>
      <c r="T11" s="156">
        <v>200</v>
      </c>
      <c r="U11" s="156">
        <v>614</v>
      </c>
      <c r="V11" s="166">
        <f t="shared" si="5"/>
        <v>1657.908</v>
      </c>
      <c r="W11" s="156">
        <f t="shared" si="6"/>
        <v>818.72</v>
      </c>
      <c r="X11" s="156">
        <f t="shared" si="7"/>
        <v>409.36</v>
      </c>
      <c r="Y11" s="156">
        <f t="shared" si="8"/>
        <v>358.19</v>
      </c>
      <c r="Z11" s="156">
        <f t="shared" si="9"/>
        <v>25.585</v>
      </c>
      <c r="AA11" s="167">
        <v>0</v>
      </c>
      <c r="AB11" s="156">
        <v>0</v>
      </c>
      <c r="AC11" s="156">
        <f t="shared" si="10"/>
        <v>35.819</v>
      </c>
      <c r="AD11" s="156">
        <f t="shared" si="11"/>
        <v>10.234</v>
      </c>
      <c r="AE11" s="156">
        <f t="shared" si="12"/>
        <v>6909.5</v>
      </c>
      <c r="AF11" s="156">
        <f t="shared" si="13"/>
        <v>2312</v>
      </c>
      <c r="AG11" s="156">
        <f t="shared" si="14"/>
        <v>4597.5</v>
      </c>
      <c r="AH11" s="173">
        <v>919.5</v>
      </c>
      <c r="AI11" s="173">
        <v>919.5</v>
      </c>
      <c r="AJ11" s="173">
        <v>919.5</v>
      </c>
      <c r="AK11" s="173">
        <v>919.5</v>
      </c>
      <c r="AL11" s="173">
        <v>919.5</v>
      </c>
      <c r="AM11" s="156">
        <v>400</v>
      </c>
      <c r="AN11" s="156">
        <f t="shared" si="15"/>
        <v>829.14</v>
      </c>
      <c r="AO11" s="156">
        <f t="shared" si="16"/>
        <v>5117</v>
      </c>
      <c r="AP11" s="156">
        <f t="shared" si="17"/>
        <v>7174.908</v>
      </c>
      <c r="AQ11" s="156">
        <f t="shared" si="18"/>
        <v>86098.896</v>
      </c>
      <c r="AR11" s="156">
        <f t="shared" si="19"/>
        <v>93837.536</v>
      </c>
    </row>
    <row r="12" s="146" customFormat="1" ht="18.95" customHeight="1" spans="1:44">
      <c r="A12" s="156">
        <v>4</v>
      </c>
      <c r="B12" s="156" t="s">
        <v>106</v>
      </c>
      <c r="C12" s="156">
        <f t="shared" si="1"/>
        <v>0</v>
      </c>
      <c r="D12" s="156">
        <f t="shared" si="2"/>
        <v>0</v>
      </c>
      <c r="E12" s="156">
        <v>0</v>
      </c>
      <c r="F12" s="156">
        <v>0</v>
      </c>
      <c r="G12" s="156">
        <f t="shared" si="3"/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f t="shared" si="4"/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66">
        <f t="shared" si="5"/>
        <v>384.93</v>
      </c>
      <c r="W12" s="156">
        <v>0</v>
      </c>
      <c r="X12" s="156">
        <v>0</v>
      </c>
      <c r="Y12" s="156">
        <v>0</v>
      </c>
      <c r="Z12" s="156">
        <v>0</v>
      </c>
      <c r="AA12" s="156">
        <f>4277*0.09</f>
        <v>384.93</v>
      </c>
      <c r="AB12" s="156">
        <v>0</v>
      </c>
      <c r="AC12" s="156">
        <v>0</v>
      </c>
      <c r="AD12" s="156">
        <v>0</v>
      </c>
      <c r="AE12" s="156">
        <f t="shared" si="12"/>
        <v>34895</v>
      </c>
      <c r="AF12" s="156">
        <f t="shared" si="13"/>
        <v>0</v>
      </c>
      <c r="AG12" s="156">
        <f t="shared" si="14"/>
        <v>34895</v>
      </c>
      <c r="AH12" s="173">
        <v>6979</v>
      </c>
      <c r="AI12" s="173">
        <v>6979</v>
      </c>
      <c r="AJ12" s="173">
        <v>6979</v>
      </c>
      <c r="AK12" s="173">
        <v>6979</v>
      </c>
      <c r="AL12" s="173">
        <v>6979</v>
      </c>
      <c r="AM12" s="156">
        <v>0</v>
      </c>
      <c r="AN12" s="156">
        <v>0</v>
      </c>
      <c r="AO12" s="156">
        <f t="shared" si="16"/>
        <v>0</v>
      </c>
      <c r="AP12" s="156">
        <f t="shared" si="17"/>
        <v>384.93</v>
      </c>
      <c r="AQ12" s="156">
        <f t="shared" si="18"/>
        <v>4619.16</v>
      </c>
      <c r="AR12" s="156">
        <f t="shared" si="19"/>
        <v>39514.16</v>
      </c>
    </row>
    <row r="13" s="146" customFormat="1" ht="18.95" customHeight="1" spans="1:44">
      <c r="A13" s="156">
        <v>5</v>
      </c>
      <c r="B13" s="156" t="s">
        <v>107</v>
      </c>
      <c r="C13" s="156">
        <f t="shared" si="1"/>
        <v>0</v>
      </c>
      <c r="D13" s="156">
        <f t="shared" si="2"/>
        <v>0</v>
      </c>
      <c r="E13" s="156">
        <v>0</v>
      </c>
      <c r="F13" s="156">
        <v>0</v>
      </c>
      <c r="G13" s="156">
        <f t="shared" si="3"/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f t="shared" si="4"/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66">
        <f t="shared" si="5"/>
        <v>354.69</v>
      </c>
      <c r="W13" s="156">
        <v>0</v>
      </c>
      <c r="X13" s="156">
        <v>0</v>
      </c>
      <c r="Y13" s="156">
        <v>0</v>
      </c>
      <c r="Z13" s="156">
        <v>0</v>
      </c>
      <c r="AA13" s="156">
        <f>3941*0.09</f>
        <v>354.69</v>
      </c>
      <c r="AB13" s="156">
        <v>0</v>
      </c>
      <c r="AC13" s="156">
        <v>0</v>
      </c>
      <c r="AD13" s="156">
        <v>0</v>
      </c>
      <c r="AE13" s="156">
        <f t="shared" si="12"/>
        <v>14781.45</v>
      </c>
      <c r="AF13" s="156">
        <f t="shared" si="13"/>
        <v>0</v>
      </c>
      <c r="AG13" s="156">
        <f t="shared" si="14"/>
        <v>14781.45</v>
      </c>
      <c r="AH13" s="173">
        <v>2956.29</v>
      </c>
      <c r="AI13" s="173">
        <v>2956.29</v>
      </c>
      <c r="AJ13" s="173">
        <v>2956.29</v>
      </c>
      <c r="AK13" s="173">
        <v>2956.29</v>
      </c>
      <c r="AL13" s="173">
        <v>2956.29</v>
      </c>
      <c r="AM13" s="156">
        <v>0</v>
      </c>
      <c r="AN13" s="156">
        <v>0</v>
      </c>
      <c r="AO13" s="156">
        <f t="shared" si="16"/>
        <v>0</v>
      </c>
      <c r="AP13" s="156">
        <f t="shared" si="17"/>
        <v>354.69</v>
      </c>
      <c r="AQ13" s="156">
        <f t="shared" si="18"/>
        <v>4256.28</v>
      </c>
      <c r="AR13" s="156">
        <f t="shared" si="19"/>
        <v>19037.73</v>
      </c>
    </row>
    <row r="14" s="146" customFormat="1" ht="18.95" customHeight="1" spans="1:44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</row>
    <row r="15" s="146" customFormat="1" ht="18.95" customHeight="1" spans="1:44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="146" customFormat="1" ht="18.95" customHeight="1" spans="1:4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</row>
    <row r="17" s="146" customFormat="1" ht="18.95" customHeight="1" spans="1:44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</row>
    <row r="18" s="146" customFormat="1" ht="18.95" customHeight="1" spans="1:44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="146" customFormat="1" ht="18.95" customHeight="1" spans="1:44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</row>
    <row r="20" s="146" customFormat="1" ht="18.95" customHeight="1" spans="1:44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</row>
    <row r="21" s="146" customFormat="1" ht="18.95" customHeight="1"/>
    <row r="22" s="146" customFormat="1" ht="18.95" customHeight="1"/>
    <row r="23" s="146" customFormat="1" ht="18.95" customHeight="1"/>
    <row r="24" s="146" customFormat="1" ht="18.95" customHeight="1"/>
    <row r="25" s="146" customFormat="1" ht="18.95" customHeight="1"/>
    <row r="26" s="146" customFormat="1" ht="18.95" customHeight="1"/>
    <row r="27" s="146" customFormat="1" ht="18.95" customHeight="1"/>
    <row r="28" s="146" customFormat="1" ht="18.95" customHeight="1"/>
    <row r="29" s="146" customFormat="1" ht="18.95" customHeight="1"/>
    <row r="30" s="146" customFormat="1" ht="18.95" customHeight="1"/>
    <row r="31" s="146" customFormat="1" ht="18.95" customHeight="1"/>
    <row r="32" s="146" customFormat="1" ht="18.95" customHeight="1"/>
    <row r="33" s="146" customFormat="1" ht="18.95" customHeight="1"/>
    <row r="34" s="146" customFormat="1" ht="18.95" customHeight="1"/>
    <row r="35" s="146" customFormat="1" ht="18.95" customHeight="1"/>
    <row r="36" s="146" customFormat="1" ht="18.95" customHeight="1"/>
    <row r="37" s="146" customFormat="1" ht="18.95" customHeight="1"/>
  </sheetData>
  <mergeCells count="45">
    <mergeCell ref="A2:D2"/>
    <mergeCell ref="E2:J2"/>
    <mergeCell ref="T2:U2"/>
    <mergeCell ref="V2:X2"/>
    <mergeCell ref="A3:AR3"/>
    <mergeCell ref="D4:F4"/>
    <mergeCell ref="G4:K4"/>
    <mergeCell ref="L4:T4"/>
    <mergeCell ref="V4:AD4"/>
    <mergeCell ref="AE4:AL4"/>
    <mergeCell ref="H5:I5"/>
    <mergeCell ref="J5:K5"/>
    <mergeCell ref="Y5:AA5"/>
    <mergeCell ref="AG5:AL5"/>
    <mergeCell ref="A4:A6"/>
    <mergeCell ref="B4:B6"/>
    <mergeCell ref="C4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B5:AB6"/>
    <mergeCell ref="AC5:AC6"/>
    <mergeCell ref="AD5:AD6"/>
    <mergeCell ref="AE5:AE6"/>
    <mergeCell ref="AF5:AF6"/>
    <mergeCell ref="AM5:AM6"/>
    <mergeCell ref="AN5:AN6"/>
    <mergeCell ref="AO5:AO6"/>
    <mergeCell ref="AP5:AP6"/>
    <mergeCell ref="AQ5:AQ6"/>
    <mergeCell ref="AR5:AR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opLeftCell="B1" workbookViewId="0">
      <selection activeCell="A1" sqref="$A1:$XFD1048576"/>
    </sheetView>
  </sheetViews>
  <sheetFormatPr defaultColWidth="9" defaultRowHeight="27" customHeight="1"/>
  <cols>
    <col min="1" max="1" width="5.62962962962963" style="83" hidden="1" customWidth="1"/>
    <col min="2" max="2" width="18" style="83" customWidth="1"/>
    <col min="3" max="3" width="4.5" style="85" customWidth="1"/>
    <col min="4" max="4" width="4.44444444444444" style="83" customWidth="1"/>
    <col min="5" max="5" width="4.55555555555556" style="83" customWidth="1"/>
    <col min="6" max="6" width="10.4444444444444" style="82" customWidth="1"/>
    <col min="7" max="7" width="10.4444444444444" style="83" customWidth="1"/>
    <col min="8" max="8" width="7.77777777777778" style="83" customWidth="1"/>
    <col min="9" max="9" width="10.3333333333333" style="83" customWidth="1"/>
    <col min="10" max="10" width="9" style="83" customWidth="1"/>
    <col min="11" max="11" width="9.11111111111111" style="86" customWidth="1"/>
    <col min="12" max="12" width="8.11111111111111" style="86" customWidth="1"/>
    <col min="13" max="15" width="16.5" style="83" hidden="1" customWidth="1"/>
    <col min="16" max="16" width="10.6296296296296" style="83" hidden="1" customWidth="1"/>
    <col min="17" max="17" width="0.111111111111111" style="83" customWidth="1"/>
    <col min="18" max="18" width="10.7777777777778" style="83" customWidth="1"/>
    <col min="19" max="19" width="9.44444444444444" style="83"/>
    <col min="20" max="16384" width="9" style="83"/>
  </cols>
  <sheetData>
    <row r="1" s="81" customFormat="1" customHeight="1" spans="2:18">
      <c r="B1" s="87" t="s">
        <v>108</v>
      </c>
      <c r="C1" s="88"/>
      <c r="D1" s="87"/>
      <c r="E1" s="87"/>
      <c r="F1" s="87"/>
      <c r="G1" s="87"/>
      <c r="H1" s="87"/>
      <c r="I1" s="87"/>
      <c r="J1" s="87"/>
      <c r="K1" s="121"/>
      <c r="L1" s="121"/>
      <c r="M1" s="87"/>
      <c r="N1" s="87"/>
      <c r="O1" s="87"/>
      <c r="P1" s="87"/>
      <c r="Q1" s="87"/>
      <c r="R1" s="87"/>
    </row>
    <row r="2" s="81" customFormat="1" ht="1" customHeight="1" spans="2:18">
      <c r="B2" s="89"/>
      <c r="C2" s="90"/>
      <c r="D2" s="91"/>
      <c r="E2" s="91"/>
      <c r="F2" s="89"/>
      <c r="G2" s="89"/>
      <c r="H2" s="89"/>
      <c r="I2" s="89"/>
      <c r="J2" s="89"/>
      <c r="K2" s="122"/>
      <c r="L2" s="122"/>
      <c r="M2" s="89"/>
      <c r="N2" s="89"/>
      <c r="O2" s="89"/>
      <c r="P2" s="89"/>
      <c r="Q2" s="89"/>
      <c r="R2" s="89"/>
    </row>
    <row r="3" s="81" customFormat="1" ht="15" customHeight="1" spans="2:18">
      <c r="B3" s="92" t="s">
        <v>1</v>
      </c>
      <c r="C3" s="92"/>
      <c r="D3" s="92"/>
      <c r="F3" s="93">
        <v>44497</v>
      </c>
      <c r="G3" s="93"/>
      <c r="H3" s="93"/>
      <c r="I3" s="93"/>
      <c r="J3" s="93"/>
      <c r="K3" s="93"/>
      <c r="L3" s="92" t="s">
        <v>2</v>
      </c>
      <c r="M3" s="92"/>
      <c r="N3" s="92"/>
      <c r="O3" s="92"/>
      <c r="P3" s="92"/>
      <c r="Q3" s="92"/>
      <c r="R3" s="139"/>
    </row>
    <row r="4" s="81" customFormat="1" customHeight="1" spans="1:18">
      <c r="A4" s="94"/>
      <c r="B4" s="95" t="s">
        <v>3</v>
      </c>
      <c r="C4" s="96" t="s">
        <v>4</v>
      </c>
      <c r="D4" s="97" t="s">
        <v>5</v>
      </c>
      <c r="E4" s="97"/>
      <c r="F4" s="95" t="s">
        <v>109</v>
      </c>
      <c r="G4" s="95"/>
      <c r="H4" s="95"/>
      <c r="I4" s="95"/>
      <c r="J4" s="95"/>
      <c r="K4" s="95"/>
      <c r="L4" s="95"/>
      <c r="M4" s="123" t="s">
        <v>7</v>
      </c>
      <c r="N4" s="123"/>
      <c r="O4" s="123"/>
      <c r="P4" s="123"/>
      <c r="Q4" s="97" t="s">
        <v>8</v>
      </c>
      <c r="R4" s="140" t="s">
        <v>9</v>
      </c>
    </row>
    <row r="5" s="81" customFormat="1" ht="32" customHeight="1" spans="1:18">
      <c r="A5" s="98"/>
      <c r="B5" s="95"/>
      <c r="C5" s="96"/>
      <c r="D5" s="97" t="s">
        <v>10</v>
      </c>
      <c r="E5" s="97" t="s">
        <v>11</v>
      </c>
      <c r="F5" s="95" t="s">
        <v>12</v>
      </c>
      <c r="G5" s="99" t="s">
        <v>13</v>
      </c>
      <c r="H5" s="99" t="s">
        <v>14</v>
      </c>
      <c r="I5" s="99" t="s">
        <v>15</v>
      </c>
      <c r="J5" s="124" t="s">
        <v>16</v>
      </c>
      <c r="K5" s="125"/>
      <c r="L5" s="125" t="s">
        <v>17</v>
      </c>
      <c r="M5" s="97" t="s">
        <v>18</v>
      </c>
      <c r="N5" s="97" t="s">
        <v>19</v>
      </c>
      <c r="O5" s="97" t="s">
        <v>6</v>
      </c>
      <c r="P5" s="97" t="s">
        <v>20</v>
      </c>
      <c r="Q5" s="97"/>
      <c r="R5" s="140"/>
    </row>
    <row r="6" s="82" customFormat="1" customHeight="1" spans="1:18">
      <c r="A6" s="100"/>
      <c r="B6" s="101" t="s">
        <v>21</v>
      </c>
      <c r="C6" s="102"/>
      <c r="D6" s="103"/>
      <c r="E6" s="103"/>
      <c r="F6" s="101">
        <f>F7+F25</f>
        <v>2606.99489389778</v>
      </c>
      <c r="G6" s="101"/>
      <c r="H6" s="101"/>
      <c r="I6" s="101"/>
      <c r="J6" s="126"/>
      <c r="K6" s="127"/>
      <c r="L6" s="125"/>
      <c r="M6" s="119">
        <v>1553.21</v>
      </c>
      <c r="N6" s="119" t="e">
        <f>N7+N25+#REF!</f>
        <v>#REF!</v>
      </c>
      <c r="O6" s="119" t="e">
        <f>O7+O25+#REF!</f>
        <v>#REF!</v>
      </c>
      <c r="P6" s="119" t="e">
        <f>P7+P25+#REF!</f>
        <v>#REF!</v>
      </c>
      <c r="Q6" s="119" t="e">
        <f>Q7+Q25+#REF!</f>
        <v>#REF!</v>
      </c>
      <c r="R6" s="141"/>
    </row>
    <row r="7" s="83" customFormat="1" customHeight="1" spans="1:18">
      <c r="A7" s="104"/>
      <c r="B7" s="105" t="s">
        <v>22</v>
      </c>
      <c r="C7" s="106"/>
      <c r="D7" s="107"/>
      <c r="E7" s="107"/>
      <c r="F7" s="105">
        <f>F8+F10+F16</f>
        <v>2496.99489389778</v>
      </c>
      <c r="G7" s="105">
        <f>G8+G10</f>
        <v>2005.78689389778</v>
      </c>
      <c r="H7" s="105">
        <f>H8+H10+H16</f>
        <v>21.028</v>
      </c>
      <c r="I7" s="105">
        <f>I8+I10</f>
        <v>112.5</v>
      </c>
      <c r="J7" s="126">
        <f>J16+K16</f>
        <v>325.44</v>
      </c>
      <c r="K7" s="127"/>
      <c r="L7" s="125">
        <f>L16</f>
        <v>32.24</v>
      </c>
      <c r="M7" s="119">
        <v>1243.7</v>
      </c>
      <c r="N7" s="119">
        <f t="shared" ref="N7:P7" si="0">N8+N10</f>
        <v>1759.7</v>
      </c>
      <c r="O7" s="119">
        <f t="shared" si="0"/>
        <v>1778.79</v>
      </c>
      <c r="P7" s="119">
        <f t="shared" si="0"/>
        <v>1958.79</v>
      </c>
      <c r="Q7" s="119">
        <f>Q8+Q10+Q16</f>
        <v>224.35</v>
      </c>
      <c r="R7" s="142"/>
    </row>
    <row r="8" s="83" customFormat="1" customHeight="1" spans="1:18">
      <c r="A8" s="104"/>
      <c r="B8" s="105" t="s">
        <v>24</v>
      </c>
      <c r="C8" s="108">
        <f>SUM(C9)</f>
        <v>45</v>
      </c>
      <c r="D8" s="109">
        <f t="shared" ref="D8:J8" si="1">D9</f>
        <v>46</v>
      </c>
      <c r="E8" s="109">
        <f t="shared" si="1"/>
        <v>61</v>
      </c>
      <c r="F8" s="105">
        <f t="shared" si="1"/>
        <v>1299.884656</v>
      </c>
      <c r="G8" s="105">
        <f t="shared" si="1"/>
        <v>1216.304656</v>
      </c>
      <c r="H8" s="105">
        <f t="shared" si="1"/>
        <v>14.58</v>
      </c>
      <c r="I8" s="105">
        <f t="shared" si="1"/>
        <v>69</v>
      </c>
      <c r="J8" s="126" t="str">
        <f t="shared" si="1"/>
        <v>-</v>
      </c>
      <c r="K8" s="127"/>
      <c r="L8" s="128"/>
      <c r="M8" s="119">
        <v>842.49</v>
      </c>
      <c r="N8" s="119">
        <f t="shared" ref="N8:Q8" si="2">SUM(N9)</f>
        <v>947.49</v>
      </c>
      <c r="O8" s="119">
        <f>O9</f>
        <v>932.6</v>
      </c>
      <c r="P8" s="119">
        <f t="shared" si="2"/>
        <v>1040.1</v>
      </c>
      <c r="Q8" s="119">
        <f t="shared" si="2"/>
        <v>92.6099999999999</v>
      </c>
      <c r="R8" s="142"/>
    </row>
    <row r="9" s="84" customFormat="1" customHeight="1" spans="1:18">
      <c r="A9" s="110"/>
      <c r="B9" s="111" t="s">
        <v>25</v>
      </c>
      <c r="C9" s="112">
        <v>45</v>
      </c>
      <c r="D9" s="113">
        <v>46</v>
      </c>
      <c r="E9" s="113">
        <v>61</v>
      </c>
      <c r="F9" s="114">
        <f t="shared" ref="F9:F15" si="3">SUM(G9:I9)</f>
        <v>1299.884656</v>
      </c>
      <c r="G9" s="111">
        <f>[2]工资福利支出!D8</f>
        <v>1216.304656</v>
      </c>
      <c r="H9" s="111">
        <v>14.58</v>
      </c>
      <c r="I9" s="111">
        <f>D9*1.5</f>
        <v>69</v>
      </c>
      <c r="J9" s="129" t="s">
        <v>23</v>
      </c>
      <c r="K9" s="130"/>
      <c r="L9" s="131"/>
      <c r="M9" s="120">
        <v>842.49</v>
      </c>
      <c r="N9" s="120">
        <f>M9+2.5*42</f>
        <v>947.49</v>
      </c>
      <c r="O9" s="120">
        <v>932.6</v>
      </c>
      <c r="P9" s="120">
        <f>O9+2.5*43</f>
        <v>1040.1</v>
      </c>
      <c r="Q9" s="120">
        <f t="shared" ref="Q9:Q15" si="4">P9-N9</f>
        <v>92.6099999999999</v>
      </c>
      <c r="R9" s="138"/>
    </row>
    <row r="10" s="83" customFormat="1" customHeight="1" spans="1:18">
      <c r="A10" s="104"/>
      <c r="B10" s="105" t="s">
        <v>26</v>
      </c>
      <c r="C10" s="108">
        <f t="shared" ref="C10:I10" si="5">SUM(C11:C15)</f>
        <v>39</v>
      </c>
      <c r="D10" s="109">
        <f t="shared" si="5"/>
        <v>38</v>
      </c>
      <c r="E10" s="109">
        <f t="shared" si="5"/>
        <v>26</v>
      </c>
      <c r="F10" s="105">
        <f t="shared" si="5"/>
        <v>835.842237897778</v>
      </c>
      <c r="G10" s="105">
        <f t="shared" si="5"/>
        <v>789.482237897778</v>
      </c>
      <c r="H10" s="105">
        <f t="shared" si="5"/>
        <v>2.86</v>
      </c>
      <c r="I10" s="105">
        <f t="shared" si="5"/>
        <v>43.5</v>
      </c>
      <c r="J10" s="132" t="s">
        <v>23</v>
      </c>
      <c r="K10" s="133"/>
      <c r="L10" s="134"/>
      <c r="M10" s="119">
        <f>SUM(M11:M15)</f>
        <v>308.51</v>
      </c>
      <c r="N10" s="119">
        <f t="shared" ref="N10:P10" si="6">SUM(N11:N15,N16)</f>
        <v>812.21</v>
      </c>
      <c r="O10" s="119">
        <f t="shared" si="6"/>
        <v>846.19</v>
      </c>
      <c r="P10" s="119">
        <f t="shared" si="6"/>
        <v>918.69</v>
      </c>
      <c r="Q10" s="119">
        <f>SUM(Q11:Q15)</f>
        <v>131.74</v>
      </c>
      <c r="R10" s="142"/>
    </row>
    <row r="11" s="84" customFormat="1" customHeight="1" spans="1:18">
      <c r="A11" s="110"/>
      <c r="B11" s="111" t="s">
        <v>27</v>
      </c>
      <c r="C11" s="112">
        <v>26</v>
      </c>
      <c r="D11" s="113">
        <v>25</v>
      </c>
      <c r="E11" s="113">
        <v>19</v>
      </c>
      <c r="F11" s="114">
        <f t="shared" si="3"/>
        <v>563.823098671111</v>
      </c>
      <c r="G11" s="111">
        <f>[2]工资福利支出!D9</f>
        <v>521.963098671111</v>
      </c>
      <c r="H11" s="111">
        <v>2.86</v>
      </c>
      <c r="I11" s="111">
        <f>C11*1.5</f>
        <v>39</v>
      </c>
      <c r="J11" s="129" t="s">
        <v>23</v>
      </c>
      <c r="K11" s="130"/>
      <c r="L11" s="131"/>
      <c r="M11" s="120">
        <v>213.14</v>
      </c>
      <c r="N11" s="120">
        <f>416.14+2.5*17</f>
        <v>458.64</v>
      </c>
      <c r="O11" s="120">
        <v>473.89</v>
      </c>
      <c r="P11" s="120">
        <f>O11+2.5*26</f>
        <v>538.89</v>
      </c>
      <c r="Q11" s="120">
        <f t="shared" si="4"/>
        <v>80.25</v>
      </c>
      <c r="R11" s="138"/>
    </row>
    <row r="12" s="84" customFormat="1" customHeight="1" spans="1:18">
      <c r="A12" s="110"/>
      <c r="B12" s="111" t="s">
        <v>28</v>
      </c>
      <c r="C12" s="112">
        <v>3</v>
      </c>
      <c r="D12" s="113">
        <v>3</v>
      </c>
      <c r="E12" s="113">
        <v>0</v>
      </c>
      <c r="F12" s="114">
        <f t="shared" si="3"/>
        <v>71.53682</v>
      </c>
      <c r="G12" s="111">
        <f>[2]工资福利支出!D10</f>
        <v>67.03682</v>
      </c>
      <c r="H12" s="111">
        <v>0</v>
      </c>
      <c r="I12" s="111">
        <f>C12*1.5</f>
        <v>4.5</v>
      </c>
      <c r="J12" s="129" t="s">
        <v>23</v>
      </c>
      <c r="K12" s="130"/>
      <c r="L12" s="131"/>
      <c r="M12" s="120">
        <v>26.98</v>
      </c>
      <c r="N12" s="120">
        <f>M12+2.5*3</f>
        <v>34.48</v>
      </c>
      <c r="O12" s="120">
        <v>41.57</v>
      </c>
      <c r="P12" s="120">
        <f>O12+2.5*3</f>
        <v>49.07</v>
      </c>
      <c r="Q12" s="120">
        <f t="shared" si="4"/>
        <v>14.59</v>
      </c>
      <c r="R12" s="138"/>
    </row>
    <row r="13" s="84" customFormat="1" customHeight="1" spans="1:18">
      <c r="A13" s="110"/>
      <c r="B13" s="111" t="s">
        <v>110</v>
      </c>
      <c r="C13" s="112">
        <v>2</v>
      </c>
      <c r="D13" s="113">
        <v>2</v>
      </c>
      <c r="E13" s="113">
        <v>0</v>
      </c>
      <c r="F13" s="114">
        <f t="shared" si="3"/>
        <v>40.9783584</v>
      </c>
      <c r="G13" s="111">
        <f>[2]工资福利支出!D13</f>
        <v>40.9783584</v>
      </c>
      <c r="H13" s="111">
        <v>0</v>
      </c>
      <c r="I13" s="111">
        <v>0</v>
      </c>
      <c r="J13" s="129" t="s">
        <v>23</v>
      </c>
      <c r="K13" s="130"/>
      <c r="L13" s="131"/>
      <c r="M13" s="120">
        <v>16.87</v>
      </c>
      <c r="N13" s="120">
        <v>16.87</v>
      </c>
      <c r="O13" s="120">
        <v>28.66</v>
      </c>
      <c r="P13" s="120">
        <f t="shared" ref="P13:P15" si="7">O13</f>
        <v>28.66</v>
      </c>
      <c r="Q13" s="120">
        <f t="shared" si="4"/>
        <v>11.79</v>
      </c>
      <c r="R13" s="138"/>
    </row>
    <row r="14" s="84" customFormat="1" customHeight="1" spans="1:18">
      <c r="A14" s="110"/>
      <c r="B14" s="111" t="s">
        <v>30</v>
      </c>
      <c r="C14" s="112">
        <v>4</v>
      </c>
      <c r="D14" s="113">
        <v>4</v>
      </c>
      <c r="E14" s="113">
        <v>5</v>
      </c>
      <c r="F14" s="114">
        <f t="shared" si="3"/>
        <v>89.3691392266667</v>
      </c>
      <c r="G14" s="111">
        <f>[2]工资福利支出!D12</f>
        <v>89.3691392266667</v>
      </c>
      <c r="H14" s="111">
        <v>0</v>
      </c>
      <c r="I14" s="111">
        <v>0</v>
      </c>
      <c r="J14" s="129" t="s">
        <v>23</v>
      </c>
      <c r="K14" s="130"/>
      <c r="L14" s="131"/>
      <c r="M14" s="120">
        <v>22.95</v>
      </c>
      <c r="N14" s="120">
        <v>22.95</v>
      </c>
      <c r="O14" s="120">
        <v>46.74</v>
      </c>
      <c r="P14" s="120">
        <f t="shared" si="7"/>
        <v>46.74</v>
      </c>
      <c r="Q14" s="120">
        <f t="shared" si="4"/>
        <v>23.79</v>
      </c>
      <c r="R14" s="138"/>
    </row>
    <row r="15" s="84" customFormat="1" customHeight="1" spans="1:18">
      <c r="A15" s="110"/>
      <c r="B15" s="111" t="s">
        <v>31</v>
      </c>
      <c r="C15" s="112">
        <v>4</v>
      </c>
      <c r="D15" s="113">
        <v>4</v>
      </c>
      <c r="E15" s="113">
        <v>2</v>
      </c>
      <c r="F15" s="114">
        <f t="shared" si="3"/>
        <v>70.1348216</v>
      </c>
      <c r="G15" s="111">
        <f>[2]工资福利支出!D11</f>
        <v>70.1348216</v>
      </c>
      <c r="H15" s="111">
        <v>0</v>
      </c>
      <c r="I15" s="111">
        <v>0</v>
      </c>
      <c r="J15" s="129" t="s">
        <v>23</v>
      </c>
      <c r="K15" s="130"/>
      <c r="L15" s="131"/>
      <c r="M15" s="120">
        <v>28.57</v>
      </c>
      <c r="N15" s="120">
        <v>28.57</v>
      </c>
      <c r="O15" s="120">
        <v>29.89</v>
      </c>
      <c r="P15" s="120">
        <f t="shared" si="7"/>
        <v>29.89</v>
      </c>
      <c r="Q15" s="120">
        <f t="shared" si="4"/>
        <v>1.32</v>
      </c>
      <c r="R15" s="138"/>
    </row>
    <row r="16" s="82" customFormat="1" ht="34" customHeight="1" spans="1:18">
      <c r="A16" s="100"/>
      <c r="B16" s="105" t="s">
        <v>32</v>
      </c>
      <c r="C16" s="106"/>
      <c r="D16" s="107"/>
      <c r="E16" s="107"/>
      <c r="F16" s="105">
        <f t="shared" ref="F16:M16" si="8">SUM(F17:F24)</f>
        <v>361.268</v>
      </c>
      <c r="G16" s="115" t="s">
        <v>23</v>
      </c>
      <c r="H16" s="105">
        <f t="shared" si="8"/>
        <v>3.588</v>
      </c>
      <c r="I16" s="115" t="s">
        <v>23</v>
      </c>
      <c r="J16" s="105">
        <f t="shared" si="8"/>
        <v>225.44</v>
      </c>
      <c r="K16" s="105">
        <f t="shared" si="8"/>
        <v>100</v>
      </c>
      <c r="L16" s="105">
        <f t="shared" si="8"/>
        <v>32.24</v>
      </c>
      <c r="M16" s="119">
        <f t="shared" si="8"/>
        <v>92.7</v>
      </c>
      <c r="N16" s="119">
        <v>250.7</v>
      </c>
      <c r="O16" s="119">
        <f t="shared" ref="O16:Q16" si="9">SUM(O17:O24)</f>
        <v>225.44</v>
      </c>
      <c r="P16" s="119">
        <f t="shared" si="9"/>
        <v>225.44</v>
      </c>
      <c r="Q16" s="119">
        <f t="shared" si="9"/>
        <v>0</v>
      </c>
      <c r="R16" s="143" t="s">
        <v>111</v>
      </c>
    </row>
    <row r="17" s="84" customFormat="1" customHeight="1" spans="1:18">
      <c r="A17" s="110"/>
      <c r="B17" s="111" t="s">
        <v>112</v>
      </c>
      <c r="C17" s="116"/>
      <c r="D17" s="117"/>
      <c r="E17" s="117"/>
      <c r="F17" s="114">
        <f t="shared" ref="F17:F24" si="10">SUM(G17:L17)</f>
        <v>75.548</v>
      </c>
      <c r="G17" s="118" t="s">
        <v>23</v>
      </c>
      <c r="H17" s="111">
        <v>2.068</v>
      </c>
      <c r="I17" s="118" t="s">
        <v>23</v>
      </c>
      <c r="J17" s="111">
        <v>50.68</v>
      </c>
      <c r="K17" s="111">
        <v>22.8</v>
      </c>
      <c r="L17" s="111">
        <v>0</v>
      </c>
      <c r="M17" s="120">
        <v>5.88</v>
      </c>
      <c r="N17" s="120"/>
      <c r="O17" s="120">
        <v>50.68</v>
      </c>
      <c r="P17" s="120">
        <v>50.68</v>
      </c>
      <c r="Q17" s="120">
        <v>0</v>
      </c>
      <c r="R17" s="144"/>
    </row>
    <row r="18" s="84" customFormat="1" customHeight="1" spans="1:18">
      <c r="A18" s="110"/>
      <c r="B18" s="111" t="s">
        <v>113</v>
      </c>
      <c r="C18" s="116"/>
      <c r="D18" s="117"/>
      <c r="E18" s="117"/>
      <c r="F18" s="114">
        <f t="shared" si="10"/>
        <v>79.28</v>
      </c>
      <c r="G18" s="118" t="s">
        <v>23</v>
      </c>
      <c r="H18" s="111">
        <v>0</v>
      </c>
      <c r="I18" s="118" t="s">
        <v>23</v>
      </c>
      <c r="J18" s="111">
        <v>56.48</v>
      </c>
      <c r="K18" s="111">
        <v>22.8</v>
      </c>
      <c r="L18" s="111">
        <v>0</v>
      </c>
      <c r="M18" s="120">
        <v>11.68</v>
      </c>
      <c r="N18" s="120"/>
      <c r="O18" s="120">
        <v>56.48</v>
      </c>
      <c r="P18" s="120">
        <v>56.48</v>
      </c>
      <c r="Q18" s="120">
        <v>0</v>
      </c>
      <c r="R18" s="144"/>
    </row>
    <row r="19" s="84" customFormat="1" customHeight="1" spans="1:18">
      <c r="A19" s="110"/>
      <c r="B19" s="111" t="s">
        <v>114</v>
      </c>
      <c r="C19" s="116"/>
      <c r="D19" s="117"/>
      <c r="E19" s="117"/>
      <c r="F19" s="114">
        <f t="shared" si="10"/>
        <v>29.15</v>
      </c>
      <c r="G19" s="118" t="s">
        <v>23</v>
      </c>
      <c r="H19" s="111">
        <v>0</v>
      </c>
      <c r="I19" s="118" t="s">
        <v>23</v>
      </c>
      <c r="J19" s="111">
        <v>18.38</v>
      </c>
      <c r="K19" s="111">
        <v>7.41</v>
      </c>
      <c r="L19" s="111">
        <v>3.36</v>
      </c>
      <c r="M19" s="120">
        <v>9.26</v>
      </c>
      <c r="N19" s="120"/>
      <c r="O19" s="120">
        <v>18.38</v>
      </c>
      <c r="P19" s="120">
        <v>18.38</v>
      </c>
      <c r="Q19" s="120">
        <v>0</v>
      </c>
      <c r="R19" s="144"/>
    </row>
    <row r="20" s="84" customFormat="1" customHeight="1" spans="1:18">
      <c r="A20" s="110" t="s">
        <v>37</v>
      </c>
      <c r="B20" s="111" t="s">
        <v>115</v>
      </c>
      <c r="C20" s="116"/>
      <c r="D20" s="117"/>
      <c r="E20" s="117"/>
      <c r="F20" s="114">
        <f t="shared" si="10"/>
        <v>78.68</v>
      </c>
      <c r="G20" s="118" t="s">
        <v>23</v>
      </c>
      <c r="H20" s="111">
        <v>0.8</v>
      </c>
      <c r="I20" s="118" t="s">
        <v>23</v>
      </c>
      <c r="J20" s="111">
        <v>37.6</v>
      </c>
      <c r="K20" s="111">
        <v>11.4</v>
      </c>
      <c r="L20" s="111">
        <v>28.88</v>
      </c>
      <c r="M20" s="120">
        <v>60</v>
      </c>
      <c r="N20" s="120"/>
      <c r="O20" s="120">
        <v>37.6</v>
      </c>
      <c r="P20" s="120">
        <v>37.6</v>
      </c>
      <c r="Q20" s="120">
        <v>0</v>
      </c>
      <c r="R20" s="144"/>
    </row>
    <row r="21" s="84" customFormat="1" customHeight="1" spans="1:18">
      <c r="A21" s="110"/>
      <c r="B21" s="111" t="s">
        <v>116</v>
      </c>
      <c r="C21" s="116"/>
      <c r="D21" s="117"/>
      <c r="E21" s="117"/>
      <c r="F21" s="114">
        <f t="shared" si="10"/>
        <v>38.03</v>
      </c>
      <c r="G21" s="118" t="s">
        <v>23</v>
      </c>
      <c r="H21" s="111">
        <v>0</v>
      </c>
      <c r="I21" s="118" t="s">
        <v>23</v>
      </c>
      <c r="J21" s="111">
        <v>25.11</v>
      </c>
      <c r="K21" s="111">
        <v>12.92</v>
      </c>
      <c r="L21" s="111">
        <v>0</v>
      </c>
      <c r="M21" s="120">
        <v>1.75</v>
      </c>
      <c r="N21" s="120"/>
      <c r="O21" s="120">
        <v>25.11</v>
      </c>
      <c r="P21" s="120">
        <v>25.11</v>
      </c>
      <c r="Q21" s="120">
        <v>0</v>
      </c>
      <c r="R21" s="144"/>
    </row>
    <row r="22" s="84" customFormat="1" customHeight="1" spans="1:18">
      <c r="A22" s="110"/>
      <c r="B22" s="111" t="s">
        <v>117</v>
      </c>
      <c r="C22" s="116"/>
      <c r="D22" s="117"/>
      <c r="E22" s="117"/>
      <c r="F22" s="114">
        <f t="shared" si="10"/>
        <v>28.625</v>
      </c>
      <c r="G22" s="118" t="s">
        <v>23</v>
      </c>
      <c r="H22" s="111">
        <v>0</v>
      </c>
      <c r="I22" s="118" t="s">
        <v>23</v>
      </c>
      <c r="J22" s="111">
        <v>15.17</v>
      </c>
      <c r="K22" s="112">
        <v>13.455</v>
      </c>
      <c r="L22" s="111">
        <v>0</v>
      </c>
      <c r="M22" s="120">
        <v>4.13</v>
      </c>
      <c r="N22" s="120"/>
      <c r="O22" s="120">
        <v>15.17</v>
      </c>
      <c r="P22" s="120">
        <v>15.17</v>
      </c>
      <c r="Q22" s="120">
        <v>0</v>
      </c>
      <c r="R22" s="144"/>
    </row>
    <row r="23" s="84" customFormat="1" customHeight="1" spans="1:18">
      <c r="A23" s="110"/>
      <c r="B23" s="111" t="s">
        <v>41</v>
      </c>
      <c r="C23" s="116"/>
      <c r="D23" s="117"/>
      <c r="E23" s="117"/>
      <c r="F23" s="114">
        <f t="shared" si="10"/>
        <v>25.455</v>
      </c>
      <c r="G23" s="118" t="s">
        <v>23</v>
      </c>
      <c r="H23" s="111">
        <v>0.72</v>
      </c>
      <c r="I23" s="118" t="s">
        <v>23</v>
      </c>
      <c r="J23" s="111">
        <v>15.52</v>
      </c>
      <c r="K23" s="112">
        <v>9.215</v>
      </c>
      <c r="L23" s="111">
        <v>0</v>
      </c>
      <c r="M23" s="120">
        <v>0</v>
      </c>
      <c r="N23" s="120"/>
      <c r="O23" s="120">
        <v>15.52</v>
      </c>
      <c r="P23" s="120">
        <v>15.52</v>
      </c>
      <c r="Q23" s="120">
        <v>0</v>
      </c>
      <c r="R23" s="144"/>
    </row>
    <row r="24" s="84" customFormat="1" ht="31" customHeight="1" spans="1:18">
      <c r="A24" s="110"/>
      <c r="B24" s="111" t="s">
        <v>42</v>
      </c>
      <c r="C24" s="116"/>
      <c r="D24" s="117"/>
      <c r="E24" s="117"/>
      <c r="F24" s="114">
        <f t="shared" si="10"/>
        <v>6.5</v>
      </c>
      <c r="G24" s="118" t="s">
        <v>23</v>
      </c>
      <c r="H24" s="111">
        <v>0</v>
      </c>
      <c r="I24" s="118" t="s">
        <v>23</v>
      </c>
      <c r="J24" s="111">
        <v>6.5</v>
      </c>
      <c r="K24" s="135">
        <v>0</v>
      </c>
      <c r="L24" s="111">
        <v>0</v>
      </c>
      <c r="M24" s="120">
        <v>0</v>
      </c>
      <c r="N24" s="120"/>
      <c r="O24" s="120">
        <v>6.5</v>
      </c>
      <c r="P24" s="120">
        <v>6.5</v>
      </c>
      <c r="Q24" s="120">
        <v>0</v>
      </c>
      <c r="R24" s="145"/>
    </row>
    <row r="25" s="83" customFormat="1" customHeight="1" spans="1:18">
      <c r="A25" s="104"/>
      <c r="B25" s="105" t="s">
        <v>43</v>
      </c>
      <c r="C25" s="106"/>
      <c r="D25" s="107"/>
      <c r="E25" s="107"/>
      <c r="F25" s="105">
        <f>SUM(F26:F27)</f>
        <v>110</v>
      </c>
      <c r="G25" s="119"/>
      <c r="H25" s="119"/>
      <c r="I25" s="119"/>
      <c r="J25" s="119"/>
      <c r="K25" s="136"/>
      <c r="L25" s="136"/>
      <c r="M25" s="119">
        <v>206.51</v>
      </c>
      <c r="N25" s="119">
        <f t="shared" ref="N25:P25" si="11">SUM(N26:N26)</f>
        <v>50</v>
      </c>
      <c r="O25" s="119">
        <f t="shared" si="11"/>
        <v>50</v>
      </c>
      <c r="P25" s="119">
        <f t="shared" si="11"/>
        <v>50</v>
      </c>
      <c r="Q25" s="119">
        <f>SUM(Q26:Q27)</f>
        <v>0</v>
      </c>
      <c r="R25" s="142"/>
    </row>
    <row r="26" s="84" customFormat="1" customHeight="1" spans="1:18">
      <c r="A26" s="110"/>
      <c r="B26" s="111" t="s">
        <v>44</v>
      </c>
      <c r="C26" s="116"/>
      <c r="D26" s="117"/>
      <c r="E26" s="117"/>
      <c r="F26" s="114">
        <v>50</v>
      </c>
      <c r="G26" s="120"/>
      <c r="H26" s="120"/>
      <c r="I26" s="120"/>
      <c r="J26" s="120"/>
      <c r="K26" s="137"/>
      <c r="L26" s="137"/>
      <c r="M26" s="120">
        <v>50</v>
      </c>
      <c r="N26" s="120">
        <v>50</v>
      </c>
      <c r="O26" s="120">
        <v>50</v>
      </c>
      <c r="P26" s="120">
        <v>50</v>
      </c>
      <c r="Q26" s="120">
        <v>0</v>
      </c>
      <c r="R26" s="138"/>
    </row>
    <row r="27" s="84" customFormat="1" customHeight="1" spans="2:18">
      <c r="B27" s="111" t="s">
        <v>45</v>
      </c>
      <c r="C27" s="112">
        <v>6</v>
      </c>
      <c r="D27" s="113">
        <v>6</v>
      </c>
      <c r="E27" s="113"/>
      <c r="F27" s="114">
        <v>60</v>
      </c>
      <c r="G27" s="120"/>
      <c r="H27" s="120"/>
      <c r="I27" s="120"/>
      <c r="J27" s="120"/>
      <c r="K27" s="137"/>
      <c r="L27" s="137"/>
      <c r="M27" s="138"/>
      <c r="N27" s="120"/>
      <c r="O27" s="120"/>
      <c r="P27" s="120"/>
      <c r="Q27" s="120"/>
      <c r="R27" s="138"/>
    </row>
  </sheetData>
  <mergeCells count="24">
    <mergeCell ref="B1:R1"/>
    <mergeCell ref="B3:D3"/>
    <mergeCell ref="F3:K3"/>
    <mergeCell ref="L3:R3"/>
    <mergeCell ref="D4:E4"/>
    <mergeCell ref="F4:K4"/>
    <mergeCell ref="M4:N4"/>
    <mergeCell ref="O4:P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B4:B5"/>
    <mergeCell ref="C4:C5"/>
    <mergeCell ref="Q4:Q5"/>
    <mergeCell ref="R4:R5"/>
    <mergeCell ref="R16:R2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7"/>
  <sheetViews>
    <sheetView workbookViewId="0">
      <selection activeCell="A1" sqref="$A1:$XFD1048576"/>
    </sheetView>
  </sheetViews>
  <sheetFormatPr defaultColWidth="9" defaultRowHeight="14.4"/>
  <cols>
    <col min="1" max="1" width="3.62037037037037" style="46" customWidth="1"/>
    <col min="2" max="3" width="10.1296296296296" style="46" customWidth="1"/>
    <col min="4" max="4" width="7.12962962962963" style="46" customWidth="1"/>
    <col min="5" max="5" width="6.5" style="46" customWidth="1"/>
    <col min="6" max="6" width="7.25" style="46" customWidth="1"/>
    <col min="7" max="8" width="6.62962962962963" style="46" customWidth="1"/>
    <col min="9" max="9" width="6.74074074074074" style="46" customWidth="1"/>
    <col min="10" max="10" width="7.37962962962963" style="46" customWidth="1"/>
    <col min="11" max="11" width="7.87962962962963" style="46" customWidth="1"/>
    <col min="12" max="12" width="7.62037037037037" style="46" customWidth="1"/>
    <col min="13" max="13" width="9" style="46"/>
    <col min="14" max="14" width="7.87962962962963" style="46" customWidth="1"/>
    <col min="15" max="21" width="9" style="46"/>
    <col min="22" max="24" width="10.7777777777778" style="46"/>
    <col min="25" max="25" width="12" style="46" customWidth="1"/>
    <col min="26" max="27" width="9.55555555555556" style="46"/>
    <col min="28" max="28" width="10.25" style="46" customWidth="1"/>
    <col min="29" max="29" width="9.55555555555556" style="46"/>
    <col min="30" max="30" width="9" style="46"/>
    <col min="31" max="31" width="8.87962962962963" style="46" customWidth="1"/>
    <col min="32" max="32" width="9.62962962962963" style="46" customWidth="1"/>
    <col min="33" max="33" width="9.75" style="46" customWidth="1"/>
    <col min="34" max="34" width="10.6296296296296" style="46" customWidth="1"/>
    <col min="35" max="35" width="10.25" style="46" customWidth="1"/>
    <col min="36" max="36" width="10.7407407407407" style="46" customWidth="1"/>
    <col min="37" max="37" width="9.75" style="46" customWidth="1"/>
    <col min="38" max="38" width="10.3796296296296" style="46" customWidth="1"/>
    <col min="39" max="40" width="9" style="46" customWidth="1"/>
    <col min="41" max="41" width="13.75" style="46" customWidth="1"/>
    <col min="42" max="43" width="15.1296296296296" style="46" customWidth="1"/>
    <col min="44" max="44" width="16.25" style="46" customWidth="1"/>
    <col min="45" max="16384" width="9" style="46"/>
  </cols>
  <sheetData>
    <row r="1" s="46" customFormat="1" ht="33.95" customHeight="1" spans="1:40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="46" customFormat="1" ht="21" customHeight="1" spans="1:24">
      <c r="A2" s="51" t="s">
        <v>46</v>
      </c>
      <c r="B2" s="51"/>
      <c r="C2" s="51"/>
      <c r="D2" s="51"/>
      <c r="E2" s="52" t="s">
        <v>47</v>
      </c>
      <c r="F2" s="52"/>
      <c r="G2" s="52"/>
      <c r="H2" s="52"/>
      <c r="I2" s="52"/>
      <c r="J2" s="52"/>
      <c r="T2" s="51" t="s">
        <v>48</v>
      </c>
      <c r="U2" s="51"/>
      <c r="V2" s="62"/>
      <c r="W2" s="62"/>
      <c r="X2" s="62"/>
    </row>
    <row r="3" s="46" customFormat="1" spans="1:44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="47" customFormat="1" ht="28.8" spans="1:44">
      <c r="A4" s="54" t="s">
        <v>49</v>
      </c>
      <c r="B4" s="54" t="s">
        <v>50</v>
      </c>
      <c r="C4" s="55" t="s">
        <v>21</v>
      </c>
      <c r="D4" s="54" t="s">
        <v>51</v>
      </c>
      <c r="E4" s="54"/>
      <c r="F4" s="54"/>
      <c r="G4" s="54" t="s">
        <v>52</v>
      </c>
      <c r="H4" s="54"/>
      <c r="I4" s="54"/>
      <c r="J4" s="54"/>
      <c r="K4" s="54"/>
      <c r="L4" s="59" t="s">
        <v>53</v>
      </c>
      <c r="M4" s="60"/>
      <c r="N4" s="60"/>
      <c r="O4" s="60"/>
      <c r="P4" s="60"/>
      <c r="Q4" s="60"/>
      <c r="R4" s="60"/>
      <c r="S4" s="60"/>
      <c r="T4" s="63"/>
      <c r="U4" s="54" t="s">
        <v>54</v>
      </c>
      <c r="V4" s="59" t="s">
        <v>55</v>
      </c>
      <c r="W4" s="60"/>
      <c r="X4" s="60"/>
      <c r="Y4" s="60"/>
      <c r="Z4" s="60"/>
      <c r="AA4" s="60"/>
      <c r="AB4" s="60"/>
      <c r="AC4" s="60"/>
      <c r="AD4" s="63"/>
      <c r="AE4" s="60" t="s">
        <v>56</v>
      </c>
      <c r="AF4" s="60"/>
      <c r="AG4" s="60"/>
      <c r="AH4" s="60"/>
      <c r="AI4" s="60"/>
      <c r="AJ4" s="60"/>
      <c r="AK4" s="60"/>
      <c r="AL4" s="63"/>
      <c r="AM4" s="54" t="s">
        <v>57</v>
      </c>
      <c r="AN4" s="54" t="s">
        <v>58</v>
      </c>
      <c r="AO4" s="54" t="s">
        <v>59</v>
      </c>
      <c r="AP4" s="54" t="s">
        <v>60</v>
      </c>
      <c r="AQ4" s="54" t="s">
        <v>61</v>
      </c>
      <c r="AR4" s="54" t="s">
        <v>62</v>
      </c>
    </row>
    <row r="5" s="46" customFormat="1" ht="14.1" customHeight="1" spans="1:44">
      <c r="A5" s="56"/>
      <c r="B5" s="56"/>
      <c r="C5" s="57"/>
      <c r="D5" s="56" t="s">
        <v>12</v>
      </c>
      <c r="E5" s="56" t="s">
        <v>63</v>
      </c>
      <c r="F5" s="56" t="s">
        <v>64</v>
      </c>
      <c r="G5" s="56" t="s">
        <v>12</v>
      </c>
      <c r="H5" s="56" t="s">
        <v>65</v>
      </c>
      <c r="I5" s="56"/>
      <c r="J5" s="56" t="s">
        <v>66</v>
      </c>
      <c r="K5" s="56"/>
      <c r="L5" s="56" t="s">
        <v>12</v>
      </c>
      <c r="M5" s="56" t="s">
        <v>67</v>
      </c>
      <c r="N5" s="56" t="s">
        <v>68</v>
      </c>
      <c r="O5" s="56" t="s">
        <v>69</v>
      </c>
      <c r="P5" s="56" t="s">
        <v>70</v>
      </c>
      <c r="Q5" s="56" t="s">
        <v>71</v>
      </c>
      <c r="R5" s="64" t="s">
        <v>72</v>
      </c>
      <c r="S5" s="56" t="s">
        <v>73</v>
      </c>
      <c r="T5" s="56" t="s">
        <v>74</v>
      </c>
      <c r="U5" s="56" t="s">
        <v>75</v>
      </c>
      <c r="V5" s="56" t="s">
        <v>12</v>
      </c>
      <c r="W5" s="56" t="s">
        <v>76</v>
      </c>
      <c r="X5" s="56" t="s">
        <v>77</v>
      </c>
      <c r="Y5" s="56" t="s">
        <v>78</v>
      </c>
      <c r="Z5" s="56"/>
      <c r="AA5" s="56"/>
      <c r="AB5" s="56" t="s">
        <v>79</v>
      </c>
      <c r="AC5" s="56" t="s">
        <v>80</v>
      </c>
      <c r="AD5" s="56" t="s">
        <v>81</v>
      </c>
      <c r="AE5" s="64" t="s">
        <v>21</v>
      </c>
      <c r="AF5" s="56" t="s">
        <v>82</v>
      </c>
      <c r="AG5" s="71" t="s">
        <v>83</v>
      </c>
      <c r="AH5" s="72"/>
      <c r="AI5" s="72"/>
      <c r="AJ5" s="72"/>
      <c r="AK5" s="72"/>
      <c r="AL5" s="73"/>
      <c r="AM5" s="56" t="s">
        <v>84</v>
      </c>
      <c r="AN5" s="74" t="s">
        <v>85</v>
      </c>
      <c r="AO5" s="78" t="s">
        <v>86</v>
      </c>
      <c r="AP5" s="78" t="s">
        <v>87</v>
      </c>
      <c r="AQ5" s="79" t="s">
        <v>88</v>
      </c>
      <c r="AR5" s="56" t="s">
        <v>89</v>
      </c>
    </row>
    <row r="6" s="46" customFormat="1" ht="29.1" customHeight="1" spans="1:44">
      <c r="A6" s="56"/>
      <c r="B6" s="56"/>
      <c r="C6" s="58"/>
      <c r="D6" s="56"/>
      <c r="E6" s="56"/>
      <c r="F6" s="56"/>
      <c r="G6" s="56"/>
      <c r="H6" s="56" t="s">
        <v>90</v>
      </c>
      <c r="I6" s="61" t="s">
        <v>91</v>
      </c>
      <c r="J6" s="56" t="s">
        <v>92</v>
      </c>
      <c r="K6" s="61" t="s">
        <v>93</v>
      </c>
      <c r="L6" s="56"/>
      <c r="M6" s="56"/>
      <c r="N6" s="56"/>
      <c r="O6" s="56"/>
      <c r="P6" s="56"/>
      <c r="Q6" s="56"/>
      <c r="R6" s="65"/>
      <c r="S6" s="56"/>
      <c r="T6" s="56"/>
      <c r="U6" s="56"/>
      <c r="V6" s="56"/>
      <c r="W6" s="56"/>
      <c r="X6" s="56"/>
      <c r="Y6" s="56" t="s">
        <v>94</v>
      </c>
      <c r="Z6" s="56" t="s">
        <v>95</v>
      </c>
      <c r="AA6" s="56" t="s">
        <v>96</v>
      </c>
      <c r="AB6" s="56"/>
      <c r="AC6" s="56"/>
      <c r="AD6" s="56"/>
      <c r="AE6" s="65"/>
      <c r="AF6" s="56"/>
      <c r="AG6" s="56" t="s">
        <v>12</v>
      </c>
      <c r="AH6" s="61" t="s">
        <v>97</v>
      </c>
      <c r="AI6" s="61" t="s">
        <v>98</v>
      </c>
      <c r="AJ6" s="61" t="s">
        <v>99</v>
      </c>
      <c r="AK6" s="61" t="s">
        <v>100</v>
      </c>
      <c r="AL6" s="61" t="s">
        <v>101</v>
      </c>
      <c r="AM6" s="56"/>
      <c r="AN6" s="75"/>
      <c r="AO6" s="78"/>
      <c r="AP6" s="78"/>
      <c r="AQ6" s="80"/>
      <c r="AR6" s="56"/>
    </row>
    <row r="7" s="48" customFormat="1" ht="30" customHeight="1" spans="1:44">
      <c r="A7" s="53"/>
      <c r="B7" s="53" t="s">
        <v>21</v>
      </c>
      <c r="C7" s="53">
        <f t="shared" ref="C7:AR7" si="0">SUM(C8:C20)</f>
        <v>19544</v>
      </c>
      <c r="D7" s="53">
        <f t="shared" si="0"/>
        <v>0</v>
      </c>
      <c r="E7" s="53">
        <f t="shared" si="0"/>
        <v>0</v>
      </c>
      <c r="F7" s="53">
        <f t="shared" si="0"/>
        <v>0</v>
      </c>
      <c r="G7" s="53">
        <f t="shared" si="0"/>
        <v>19544</v>
      </c>
      <c r="H7" s="53">
        <f t="shared" si="0"/>
        <v>7080</v>
      </c>
      <c r="I7" s="53">
        <f t="shared" si="0"/>
        <v>5733</v>
      </c>
      <c r="J7" s="53">
        <f t="shared" si="0"/>
        <v>4040</v>
      </c>
      <c r="K7" s="53">
        <f t="shared" si="0"/>
        <v>2691</v>
      </c>
      <c r="L7" s="53">
        <f t="shared" si="0"/>
        <v>2470</v>
      </c>
      <c r="M7" s="53">
        <f t="shared" si="0"/>
        <v>0</v>
      </c>
      <c r="N7" s="53">
        <f t="shared" si="0"/>
        <v>626</v>
      </c>
      <c r="O7" s="53">
        <f t="shared" si="0"/>
        <v>800</v>
      </c>
      <c r="P7" s="53">
        <f t="shared" si="0"/>
        <v>0</v>
      </c>
      <c r="Q7" s="53">
        <f t="shared" si="0"/>
        <v>224</v>
      </c>
      <c r="R7" s="53">
        <f t="shared" si="0"/>
        <v>20</v>
      </c>
      <c r="S7" s="53">
        <f t="shared" si="0"/>
        <v>0</v>
      </c>
      <c r="T7" s="53">
        <f t="shared" si="0"/>
        <v>800</v>
      </c>
      <c r="U7" s="53">
        <f t="shared" si="0"/>
        <v>3003</v>
      </c>
      <c r="V7" s="66">
        <f t="shared" si="0"/>
        <v>9002.898</v>
      </c>
      <c r="W7" s="66">
        <f t="shared" si="0"/>
        <v>4002.72</v>
      </c>
      <c r="X7" s="66">
        <f t="shared" si="0"/>
        <v>2001.36</v>
      </c>
      <c r="Y7" s="66">
        <f t="shared" si="0"/>
        <v>1751.19</v>
      </c>
      <c r="Z7" s="66">
        <f t="shared" si="0"/>
        <v>125.085</v>
      </c>
      <c r="AA7" s="66">
        <f t="shared" si="0"/>
        <v>897.39</v>
      </c>
      <c r="AB7" s="66">
        <f t="shared" si="0"/>
        <v>0</v>
      </c>
      <c r="AC7" s="66">
        <f t="shared" si="0"/>
        <v>175.119</v>
      </c>
      <c r="AD7" s="66">
        <f t="shared" si="0"/>
        <v>50.034</v>
      </c>
      <c r="AE7" s="68">
        <f t="shared" si="0"/>
        <v>249135.5</v>
      </c>
      <c r="AF7" s="53">
        <f t="shared" si="0"/>
        <v>12813</v>
      </c>
      <c r="AG7" s="68">
        <f t="shared" si="0"/>
        <v>236322.5</v>
      </c>
      <c r="AH7" s="68">
        <f t="shared" si="0"/>
        <v>47264.5</v>
      </c>
      <c r="AI7" s="68">
        <f t="shared" si="0"/>
        <v>47264.5</v>
      </c>
      <c r="AJ7" s="68">
        <f t="shared" si="0"/>
        <v>47264.5</v>
      </c>
      <c r="AK7" s="68">
        <f t="shared" si="0"/>
        <v>47264.5</v>
      </c>
      <c r="AL7" s="68">
        <f t="shared" si="0"/>
        <v>47264.5</v>
      </c>
      <c r="AM7" s="53">
        <f t="shared" si="0"/>
        <v>1600</v>
      </c>
      <c r="AN7" s="53">
        <f t="shared" si="0"/>
        <v>24773.94</v>
      </c>
      <c r="AO7" s="53">
        <f t="shared" si="0"/>
        <v>25017</v>
      </c>
      <c r="AP7" s="66">
        <f t="shared" si="0"/>
        <v>35619.898</v>
      </c>
      <c r="AQ7" s="66">
        <f t="shared" si="0"/>
        <v>427438.776</v>
      </c>
      <c r="AR7" s="66">
        <f t="shared" si="0"/>
        <v>701348.216</v>
      </c>
    </row>
    <row r="8" s="46" customFormat="1" ht="18.95" customHeight="1" spans="1:44">
      <c r="A8" s="56">
        <v>1</v>
      </c>
      <c r="B8" s="56" t="s">
        <v>102</v>
      </c>
      <c r="C8" s="56">
        <f t="shared" ref="C8:C13" si="1">D8+G8</f>
        <v>6746</v>
      </c>
      <c r="D8" s="56">
        <f t="shared" ref="D8:D13" si="2">SUM(E8:F8)</f>
        <v>0</v>
      </c>
      <c r="E8" s="56">
        <v>0</v>
      </c>
      <c r="F8" s="56">
        <v>0</v>
      </c>
      <c r="G8" s="56">
        <f t="shared" ref="G8:G13" si="3">SUM(H8:K8)</f>
        <v>6746</v>
      </c>
      <c r="H8" s="56">
        <v>2200</v>
      </c>
      <c r="I8" s="56">
        <v>2821</v>
      </c>
      <c r="J8" s="56">
        <v>1035</v>
      </c>
      <c r="K8" s="56">
        <v>690</v>
      </c>
      <c r="L8" s="56">
        <f t="shared" ref="L8:L13" si="4">SUM(M8:T8)</f>
        <v>667</v>
      </c>
      <c r="M8" s="56">
        <v>0</v>
      </c>
      <c r="N8" s="56">
        <v>211</v>
      </c>
      <c r="O8" s="56">
        <v>200</v>
      </c>
      <c r="P8" s="56">
        <v>0</v>
      </c>
      <c r="Q8" s="56">
        <v>56</v>
      </c>
      <c r="R8" s="56">
        <v>0</v>
      </c>
      <c r="S8" s="56">
        <v>0</v>
      </c>
      <c r="T8" s="56">
        <v>200</v>
      </c>
      <c r="U8" s="56">
        <v>1011</v>
      </c>
      <c r="V8" s="67">
        <f t="shared" ref="V8:V13" si="5">SUM(W8:AD8)</f>
        <v>2729.376</v>
      </c>
      <c r="W8" s="67">
        <f t="shared" ref="W8:W11" si="6">AO8*0.16</f>
        <v>1347.84</v>
      </c>
      <c r="X8" s="67">
        <f t="shared" ref="X8:X11" si="7">AO8*0.08</f>
        <v>673.92</v>
      </c>
      <c r="Y8" s="67">
        <f t="shared" ref="Y8:Y11" si="8">AO8*0.07</f>
        <v>589.68</v>
      </c>
      <c r="Z8" s="67">
        <f t="shared" ref="Z8:Z11" si="9">AO8*0.5%</f>
        <v>42.12</v>
      </c>
      <c r="AA8" s="67">
        <v>0</v>
      </c>
      <c r="AB8" s="67">
        <v>0</v>
      </c>
      <c r="AC8" s="67">
        <f t="shared" ref="AC8:AC11" si="10">AO8*0.7%</f>
        <v>58.968</v>
      </c>
      <c r="AD8" s="67">
        <f t="shared" ref="AD8:AD11" si="11">AO8*0.2%</f>
        <v>16.848</v>
      </c>
      <c r="AE8" s="69">
        <f t="shared" ref="AE8:AE13" si="12">AF8+AG8</f>
        <v>69346.15</v>
      </c>
      <c r="AF8" s="56">
        <f t="shared" ref="AF8:AF13" si="13">H8+I8</f>
        <v>5021</v>
      </c>
      <c r="AG8" s="69">
        <f t="shared" ref="AG8:AG13" si="14">SUM(AH8:AL8)</f>
        <v>64325.15</v>
      </c>
      <c r="AH8" s="76">
        <v>12865.03</v>
      </c>
      <c r="AI8" s="76">
        <v>12865.03</v>
      </c>
      <c r="AJ8" s="76">
        <v>12865.03</v>
      </c>
      <c r="AK8" s="76">
        <v>12865.03</v>
      </c>
      <c r="AL8" s="76">
        <v>12865.03</v>
      </c>
      <c r="AM8" s="56">
        <v>400</v>
      </c>
      <c r="AN8" s="67">
        <f t="shared" ref="AN8:AN11" si="15">(AE8+AM8*12)*0.12</f>
        <v>8897.538</v>
      </c>
      <c r="AO8" s="56">
        <f t="shared" ref="AO8:AO13" si="16">C8+L8+U8</f>
        <v>8424</v>
      </c>
      <c r="AP8" s="67">
        <f t="shared" ref="AP8:AP13" si="17">AO8+V8+AM8</f>
        <v>11553.376</v>
      </c>
      <c r="AQ8" s="67">
        <f t="shared" ref="AQ8:AQ13" si="18">AP8*12</f>
        <v>138640.512</v>
      </c>
      <c r="AR8" s="67">
        <f t="shared" ref="AR8:AR11" si="19">AP8*12+AE8+AN8</f>
        <v>216884.2</v>
      </c>
    </row>
    <row r="9" s="46" customFormat="1" ht="18.95" customHeight="1" spans="1:44">
      <c r="A9" s="56">
        <v>2</v>
      </c>
      <c r="B9" s="56" t="s">
        <v>103</v>
      </c>
      <c r="C9" s="56">
        <f t="shared" si="1"/>
        <v>4856</v>
      </c>
      <c r="D9" s="56">
        <f t="shared" si="2"/>
        <v>0</v>
      </c>
      <c r="E9" s="56">
        <v>0</v>
      </c>
      <c r="F9" s="56">
        <v>0</v>
      </c>
      <c r="G9" s="56">
        <f t="shared" si="3"/>
        <v>4856</v>
      </c>
      <c r="H9" s="56">
        <v>1640</v>
      </c>
      <c r="I9" s="56">
        <v>1520</v>
      </c>
      <c r="J9" s="56">
        <v>1018</v>
      </c>
      <c r="K9" s="56">
        <v>678</v>
      </c>
      <c r="L9" s="56">
        <f t="shared" si="4"/>
        <v>611</v>
      </c>
      <c r="M9" s="56">
        <v>0</v>
      </c>
      <c r="N9" s="56">
        <v>155</v>
      </c>
      <c r="O9" s="56">
        <v>200</v>
      </c>
      <c r="P9" s="56">
        <v>0</v>
      </c>
      <c r="Q9" s="56">
        <v>56</v>
      </c>
      <c r="R9" s="56">
        <v>0</v>
      </c>
      <c r="S9" s="56">
        <v>0</v>
      </c>
      <c r="T9" s="56">
        <v>200</v>
      </c>
      <c r="U9" s="56">
        <v>746</v>
      </c>
      <c r="V9" s="67">
        <f t="shared" si="5"/>
        <v>2013.012</v>
      </c>
      <c r="W9" s="67">
        <f t="shared" si="6"/>
        <v>994.08</v>
      </c>
      <c r="X9" s="67">
        <f t="shared" si="7"/>
        <v>497.04</v>
      </c>
      <c r="Y9" s="67">
        <f t="shared" si="8"/>
        <v>434.91</v>
      </c>
      <c r="Z9" s="67">
        <f t="shared" si="9"/>
        <v>31.065</v>
      </c>
      <c r="AA9" s="70">
        <v>0</v>
      </c>
      <c r="AB9" s="67">
        <v>0</v>
      </c>
      <c r="AC9" s="67">
        <f t="shared" si="10"/>
        <v>43.491</v>
      </c>
      <c r="AD9" s="67">
        <f t="shared" si="11"/>
        <v>12.426</v>
      </c>
      <c r="AE9" s="69">
        <f t="shared" si="12"/>
        <v>50961.8</v>
      </c>
      <c r="AF9" s="56">
        <f t="shared" si="13"/>
        <v>3160</v>
      </c>
      <c r="AG9" s="69">
        <f t="shared" si="14"/>
        <v>47801.8</v>
      </c>
      <c r="AH9" s="77">
        <v>9560.36</v>
      </c>
      <c r="AI9" s="77">
        <v>9560.36</v>
      </c>
      <c r="AJ9" s="77">
        <v>9560.36</v>
      </c>
      <c r="AK9" s="77">
        <v>9560.36</v>
      </c>
      <c r="AL9" s="77">
        <v>9560.36</v>
      </c>
      <c r="AM9" s="56">
        <v>400</v>
      </c>
      <c r="AN9" s="67">
        <f t="shared" si="15"/>
        <v>6691.416</v>
      </c>
      <c r="AO9" s="56">
        <f t="shared" si="16"/>
        <v>6213</v>
      </c>
      <c r="AP9" s="67">
        <f t="shared" si="17"/>
        <v>8626.012</v>
      </c>
      <c r="AQ9" s="67">
        <f t="shared" si="18"/>
        <v>103512.144</v>
      </c>
      <c r="AR9" s="67">
        <f t="shared" si="19"/>
        <v>161165.36</v>
      </c>
    </row>
    <row r="10" s="46" customFormat="1" ht="18.95" customHeight="1" spans="1:44">
      <c r="A10" s="56">
        <v>3</v>
      </c>
      <c r="B10" s="56" t="s">
        <v>104</v>
      </c>
      <c r="C10" s="56">
        <f t="shared" si="1"/>
        <v>3969</v>
      </c>
      <c r="D10" s="56">
        <f t="shared" si="2"/>
        <v>0</v>
      </c>
      <c r="E10" s="56">
        <v>0</v>
      </c>
      <c r="F10" s="56">
        <v>0</v>
      </c>
      <c r="G10" s="56">
        <f t="shared" si="3"/>
        <v>3969</v>
      </c>
      <c r="H10" s="56">
        <v>1620</v>
      </c>
      <c r="I10" s="56">
        <v>646</v>
      </c>
      <c r="J10" s="56">
        <v>1022</v>
      </c>
      <c r="K10" s="56">
        <v>681</v>
      </c>
      <c r="L10" s="56">
        <f t="shared" si="4"/>
        <v>606</v>
      </c>
      <c r="M10" s="56">
        <v>0</v>
      </c>
      <c r="N10" s="56">
        <v>130</v>
      </c>
      <c r="O10" s="56">
        <v>200</v>
      </c>
      <c r="P10" s="56">
        <v>0</v>
      </c>
      <c r="Q10" s="56">
        <v>56</v>
      </c>
      <c r="R10" s="56">
        <v>20</v>
      </c>
      <c r="S10" s="56">
        <v>0</v>
      </c>
      <c r="T10" s="56">
        <v>200</v>
      </c>
      <c r="U10" s="56">
        <v>624</v>
      </c>
      <c r="V10" s="67">
        <f t="shared" si="5"/>
        <v>1684.476</v>
      </c>
      <c r="W10" s="67">
        <f t="shared" si="6"/>
        <v>831.84</v>
      </c>
      <c r="X10" s="67">
        <f t="shared" si="7"/>
        <v>415.92</v>
      </c>
      <c r="Y10" s="67">
        <f t="shared" si="8"/>
        <v>363.93</v>
      </c>
      <c r="Z10" s="67">
        <f t="shared" si="9"/>
        <v>25.995</v>
      </c>
      <c r="AA10" s="70">
        <v>0</v>
      </c>
      <c r="AB10" s="67">
        <v>0</v>
      </c>
      <c r="AC10" s="67">
        <f t="shared" si="10"/>
        <v>36.393</v>
      </c>
      <c r="AD10" s="67">
        <f t="shared" si="11"/>
        <v>10.398</v>
      </c>
      <c r="AE10" s="69">
        <f t="shared" si="12"/>
        <v>35880.4</v>
      </c>
      <c r="AF10" s="56">
        <f t="shared" si="13"/>
        <v>2266</v>
      </c>
      <c r="AG10" s="69">
        <f t="shared" si="14"/>
        <v>33614.4</v>
      </c>
      <c r="AH10" s="76">
        <v>6722.88</v>
      </c>
      <c r="AI10" s="76">
        <v>6722.88</v>
      </c>
      <c r="AJ10" s="76">
        <v>6722.88</v>
      </c>
      <c r="AK10" s="76">
        <v>6722.88</v>
      </c>
      <c r="AL10" s="76">
        <v>6722.88</v>
      </c>
      <c r="AM10" s="56">
        <v>400</v>
      </c>
      <c r="AN10" s="67">
        <f t="shared" si="15"/>
        <v>4881.648</v>
      </c>
      <c r="AO10" s="56">
        <f t="shared" si="16"/>
        <v>5199</v>
      </c>
      <c r="AP10" s="67">
        <f t="shared" si="17"/>
        <v>7283.476</v>
      </c>
      <c r="AQ10" s="67">
        <f t="shared" si="18"/>
        <v>87401.712</v>
      </c>
      <c r="AR10" s="67">
        <f t="shared" si="19"/>
        <v>128163.76</v>
      </c>
    </row>
    <row r="11" s="46" customFormat="1" ht="18.95" customHeight="1" spans="1:44">
      <c r="A11" s="56">
        <v>4</v>
      </c>
      <c r="B11" s="56" t="s">
        <v>105</v>
      </c>
      <c r="C11" s="56">
        <f t="shared" si="1"/>
        <v>3973</v>
      </c>
      <c r="D11" s="56">
        <f t="shared" si="2"/>
        <v>0</v>
      </c>
      <c r="E11" s="56">
        <v>0</v>
      </c>
      <c r="F11" s="56">
        <v>0</v>
      </c>
      <c r="G11" s="56">
        <f t="shared" si="3"/>
        <v>3973</v>
      </c>
      <c r="H11" s="56">
        <v>1620</v>
      </c>
      <c r="I11" s="56">
        <v>746</v>
      </c>
      <c r="J11" s="56">
        <v>965</v>
      </c>
      <c r="K11" s="56">
        <v>642</v>
      </c>
      <c r="L11" s="56">
        <f t="shared" si="4"/>
        <v>586</v>
      </c>
      <c r="M11" s="56">
        <v>0</v>
      </c>
      <c r="N11" s="56">
        <v>130</v>
      </c>
      <c r="O11" s="56">
        <v>200</v>
      </c>
      <c r="P11" s="56">
        <v>0</v>
      </c>
      <c r="Q11" s="56">
        <v>56</v>
      </c>
      <c r="R11" s="56">
        <v>0</v>
      </c>
      <c r="S11" s="56">
        <v>0</v>
      </c>
      <c r="T11" s="56">
        <v>200</v>
      </c>
      <c r="U11" s="56">
        <v>622</v>
      </c>
      <c r="V11" s="67">
        <f t="shared" si="5"/>
        <v>1678.644</v>
      </c>
      <c r="W11" s="67">
        <f t="shared" si="6"/>
        <v>828.96</v>
      </c>
      <c r="X11" s="67">
        <f t="shared" si="7"/>
        <v>414.48</v>
      </c>
      <c r="Y11" s="67">
        <f t="shared" si="8"/>
        <v>362.67</v>
      </c>
      <c r="Z11" s="67">
        <f t="shared" si="9"/>
        <v>25.905</v>
      </c>
      <c r="AA11" s="70">
        <v>0</v>
      </c>
      <c r="AB11" s="67">
        <v>0</v>
      </c>
      <c r="AC11" s="67">
        <f t="shared" si="10"/>
        <v>36.267</v>
      </c>
      <c r="AD11" s="67">
        <f t="shared" si="11"/>
        <v>10.362</v>
      </c>
      <c r="AE11" s="69">
        <f t="shared" si="12"/>
        <v>31061.15</v>
      </c>
      <c r="AF11" s="56">
        <f t="shared" si="13"/>
        <v>2366</v>
      </c>
      <c r="AG11" s="69">
        <f t="shared" si="14"/>
        <v>28695.15</v>
      </c>
      <c r="AH11" s="76">
        <v>5739.03</v>
      </c>
      <c r="AI11" s="76">
        <v>5739.03</v>
      </c>
      <c r="AJ11" s="76">
        <v>5739.03</v>
      </c>
      <c r="AK11" s="76">
        <v>5739.03</v>
      </c>
      <c r="AL11" s="76">
        <v>5739.03</v>
      </c>
      <c r="AM11" s="56">
        <v>400</v>
      </c>
      <c r="AN11" s="67">
        <f t="shared" si="15"/>
        <v>4303.338</v>
      </c>
      <c r="AO11" s="56">
        <f t="shared" si="16"/>
        <v>5181</v>
      </c>
      <c r="AP11" s="67">
        <f t="shared" si="17"/>
        <v>7259.644</v>
      </c>
      <c r="AQ11" s="67">
        <f t="shared" si="18"/>
        <v>87115.728</v>
      </c>
      <c r="AR11" s="67">
        <f t="shared" si="19"/>
        <v>122480.216</v>
      </c>
    </row>
    <row r="12" s="46" customFormat="1" ht="18.95" customHeight="1" spans="1:44">
      <c r="A12" s="56">
        <v>4</v>
      </c>
      <c r="B12" s="56" t="s">
        <v>106</v>
      </c>
      <c r="C12" s="56">
        <f t="shared" si="1"/>
        <v>0</v>
      </c>
      <c r="D12" s="56">
        <f t="shared" si="2"/>
        <v>0</v>
      </c>
      <c r="E12" s="56">
        <v>0</v>
      </c>
      <c r="F12" s="56">
        <v>0</v>
      </c>
      <c r="G12" s="56">
        <f t="shared" si="3"/>
        <v>0</v>
      </c>
      <c r="H12" s="56">
        <v>0</v>
      </c>
      <c r="I12" s="56">
        <v>0</v>
      </c>
      <c r="J12" s="56">
        <v>0</v>
      </c>
      <c r="K12" s="56">
        <v>0</v>
      </c>
      <c r="L12" s="56">
        <f t="shared" si="4"/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67">
        <f t="shared" si="5"/>
        <v>514.53</v>
      </c>
      <c r="W12" s="67">
        <v>0</v>
      </c>
      <c r="X12" s="67">
        <v>0</v>
      </c>
      <c r="Y12" s="67">
        <v>0</v>
      </c>
      <c r="Z12" s="67">
        <v>0</v>
      </c>
      <c r="AA12" s="67">
        <f>5717*0.09</f>
        <v>514.53</v>
      </c>
      <c r="AB12" s="67">
        <v>0</v>
      </c>
      <c r="AC12" s="67">
        <v>0</v>
      </c>
      <c r="AD12" s="67">
        <v>0</v>
      </c>
      <c r="AE12" s="69">
        <f t="shared" si="12"/>
        <v>35486.05</v>
      </c>
      <c r="AF12" s="56">
        <f t="shared" si="13"/>
        <v>0</v>
      </c>
      <c r="AG12" s="69">
        <f t="shared" si="14"/>
        <v>35486.05</v>
      </c>
      <c r="AH12" s="76">
        <v>7097.21</v>
      </c>
      <c r="AI12" s="76">
        <v>7097.21</v>
      </c>
      <c r="AJ12" s="76">
        <v>7097.21</v>
      </c>
      <c r="AK12" s="76">
        <v>7097.21</v>
      </c>
      <c r="AL12" s="76">
        <v>7097.21</v>
      </c>
      <c r="AM12" s="56">
        <v>0</v>
      </c>
      <c r="AN12" s="67">
        <v>0</v>
      </c>
      <c r="AO12" s="56">
        <f t="shared" si="16"/>
        <v>0</v>
      </c>
      <c r="AP12" s="67">
        <f t="shared" si="17"/>
        <v>514.53</v>
      </c>
      <c r="AQ12" s="67">
        <f t="shared" si="18"/>
        <v>6174.36</v>
      </c>
      <c r="AR12" s="67">
        <f>AP12*12+AE12</f>
        <v>41660.41</v>
      </c>
    </row>
    <row r="13" s="46" customFormat="1" ht="18.95" customHeight="1" spans="1:44">
      <c r="A13" s="56">
        <v>5</v>
      </c>
      <c r="B13" s="56" t="s">
        <v>107</v>
      </c>
      <c r="C13" s="56">
        <f t="shared" si="1"/>
        <v>0</v>
      </c>
      <c r="D13" s="56">
        <f t="shared" si="2"/>
        <v>0</v>
      </c>
      <c r="E13" s="56">
        <v>0</v>
      </c>
      <c r="F13" s="56">
        <v>0</v>
      </c>
      <c r="G13" s="56">
        <f t="shared" si="3"/>
        <v>0</v>
      </c>
      <c r="H13" s="56">
        <v>0</v>
      </c>
      <c r="I13" s="56">
        <v>0</v>
      </c>
      <c r="J13" s="56">
        <v>0</v>
      </c>
      <c r="K13" s="56">
        <v>0</v>
      </c>
      <c r="L13" s="56">
        <f t="shared" si="4"/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67">
        <f t="shared" si="5"/>
        <v>382.86</v>
      </c>
      <c r="W13" s="67">
        <v>0</v>
      </c>
      <c r="X13" s="67">
        <v>0</v>
      </c>
      <c r="Y13" s="67">
        <v>0</v>
      </c>
      <c r="Z13" s="67">
        <v>0</v>
      </c>
      <c r="AA13" s="67">
        <f>4254*0.09</f>
        <v>382.86</v>
      </c>
      <c r="AB13" s="67">
        <v>0</v>
      </c>
      <c r="AC13" s="67">
        <v>0</v>
      </c>
      <c r="AD13" s="67">
        <v>0</v>
      </c>
      <c r="AE13" s="68">
        <f t="shared" si="12"/>
        <v>26399.95</v>
      </c>
      <c r="AF13" s="56">
        <f t="shared" si="13"/>
        <v>0</v>
      </c>
      <c r="AG13" s="69">
        <f t="shared" si="14"/>
        <v>26399.95</v>
      </c>
      <c r="AH13" s="76">
        <v>5279.99</v>
      </c>
      <c r="AI13" s="76">
        <v>5279.99</v>
      </c>
      <c r="AJ13" s="76">
        <v>5279.99</v>
      </c>
      <c r="AK13" s="76">
        <v>5279.99</v>
      </c>
      <c r="AL13" s="76">
        <v>5279.99</v>
      </c>
      <c r="AM13" s="56">
        <v>0</v>
      </c>
      <c r="AN13" s="67">
        <v>0</v>
      </c>
      <c r="AO13" s="56">
        <f t="shared" si="16"/>
        <v>0</v>
      </c>
      <c r="AP13" s="67">
        <f t="shared" si="17"/>
        <v>382.86</v>
      </c>
      <c r="AQ13" s="67">
        <f t="shared" si="18"/>
        <v>4594.32</v>
      </c>
      <c r="AR13" s="67">
        <f>AP13*12+AE13</f>
        <v>30994.27</v>
      </c>
    </row>
    <row r="14" s="46" customFormat="1" ht="18.95" customHeight="1" spans="1:44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69"/>
      <c r="AH14" s="69"/>
      <c r="AI14" s="69"/>
      <c r="AJ14" s="69"/>
      <c r="AK14" s="69"/>
      <c r="AL14" s="69"/>
      <c r="AM14" s="56"/>
      <c r="AN14" s="56"/>
      <c r="AO14" s="56"/>
      <c r="AP14" s="56"/>
      <c r="AQ14" s="56"/>
      <c r="AR14" s="56"/>
    </row>
    <row r="15" s="46" customFormat="1" ht="18.95" customHeight="1" spans="1:44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</row>
    <row r="16" s="46" customFormat="1" ht="18.95" customHeight="1" spans="1:44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="46" customFormat="1" ht="18.95" customHeight="1" spans="1:44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</row>
    <row r="18" s="46" customFormat="1" ht="18.95" customHeight="1" spans="1:44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</row>
    <row r="19" s="46" customFormat="1" ht="18.95" customHeight="1" spans="1:4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</row>
    <row r="20" s="46" customFormat="1" ht="18.95" customHeight="1" spans="1:44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</row>
    <row r="21" s="46" customFormat="1" ht="18.95" customHeight="1"/>
    <row r="22" s="46" customFormat="1" ht="18.95" customHeight="1"/>
    <row r="23" s="46" customFormat="1" ht="18.95" customHeight="1"/>
    <row r="24" s="46" customFormat="1" ht="18.95" customHeight="1"/>
    <row r="25" s="46" customFormat="1" ht="18.95" customHeight="1"/>
    <row r="26" s="46" customFormat="1" ht="18.95" customHeight="1"/>
    <row r="27" s="46" customFormat="1" ht="18.95" customHeight="1"/>
    <row r="28" s="46" customFormat="1" ht="18.95" customHeight="1"/>
    <row r="29" s="46" customFormat="1" ht="18.95" customHeight="1"/>
    <row r="30" s="46" customFormat="1" ht="18.95" customHeight="1"/>
    <row r="31" s="46" customFormat="1" ht="18.95" customHeight="1"/>
    <row r="32" s="46" customFormat="1" ht="18.95" customHeight="1"/>
    <row r="33" s="46" customFormat="1" ht="18.95" customHeight="1"/>
    <row r="34" s="46" customFormat="1" ht="18.95" customHeight="1"/>
    <row r="35" s="46" customFormat="1" ht="18.95" customHeight="1"/>
    <row r="36" s="46" customFormat="1" ht="18.95" customHeight="1"/>
    <row r="37" s="46" customFormat="1" ht="18.95" customHeight="1"/>
  </sheetData>
  <mergeCells count="45">
    <mergeCell ref="A2:D2"/>
    <mergeCell ref="E2:J2"/>
    <mergeCell ref="T2:U2"/>
    <mergeCell ref="V2:X2"/>
    <mergeCell ref="A3:AR3"/>
    <mergeCell ref="D4:F4"/>
    <mergeCell ref="G4:K4"/>
    <mergeCell ref="L4:T4"/>
    <mergeCell ref="V4:AD4"/>
    <mergeCell ref="AE4:AL4"/>
    <mergeCell ref="H5:I5"/>
    <mergeCell ref="J5:K5"/>
    <mergeCell ref="Y5:AA5"/>
    <mergeCell ref="AG5:AL5"/>
    <mergeCell ref="A4:A6"/>
    <mergeCell ref="B4:B6"/>
    <mergeCell ref="C4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B5:AB6"/>
    <mergeCell ref="AC5:AC6"/>
    <mergeCell ref="AD5:AD6"/>
    <mergeCell ref="AE5:AE6"/>
    <mergeCell ref="AF5:AF6"/>
    <mergeCell ref="AM5:AM6"/>
    <mergeCell ref="AN5:AN6"/>
    <mergeCell ref="AO5:AO6"/>
    <mergeCell ref="AP5:AP6"/>
    <mergeCell ref="AQ5:AQ6"/>
    <mergeCell ref="AR5:AR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3043"/>
  <sheetViews>
    <sheetView tabSelected="1" workbookViewId="0">
      <selection activeCell="J9" sqref="J9"/>
    </sheetView>
  </sheetViews>
  <sheetFormatPr defaultColWidth="8.88888888888889" defaultRowHeight="14.4"/>
  <cols>
    <col min="2" max="2" width="19.4444444444444" style="6" customWidth="1"/>
    <col min="3" max="3" width="18.8888888888889" style="7" customWidth="1"/>
    <col min="4" max="4" width="18.2222222222222" style="7" customWidth="1"/>
  </cols>
  <sheetData>
    <row r="1" s="1" customFormat="1" ht="21.75" customHeight="1" spans="1:12">
      <c r="A1" s="8"/>
      <c r="B1" s="9"/>
      <c r="C1" s="8"/>
      <c r="D1" s="8"/>
      <c r="E1" s="8"/>
      <c r="F1" s="8"/>
      <c r="G1" s="10"/>
      <c r="H1" s="10"/>
      <c r="I1" s="8"/>
      <c r="J1" s="8"/>
      <c r="K1" s="8"/>
      <c r="L1" s="39" t="s">
        <v>118</v>
      </c>
    </row>
    <row r="2" s="2" customFormat="1" ht="27" customHeight="1" spans="1:12">
      <c r="A2" s="11" t="s">
        <v>119</v>
      </c>
      <c r="B2" s="12"/>
      <c r="C2" s="11"/>
      <c r="D2" s="11"/>
      <c r="E2" s="11"/>
      <c r="F2" s="11"/>
      <c r="G2" s="13"/>
      <c r="H2" s="13"/>
      <c r="I2" s="11"/>
      <c r="J2" s="11"/>
      <c r="K2" s="11"/>
      <c r="L2" s="11"/>
    </row>
    <row r="3" s="3" customFormat="1" ht="15" customHeight="1" spans="1:12">
      <c r="A3" s="14"/>
      <c r="B3" s="15"/>
      <c r="C3" s="16"/>
      <c r="D3" s="16"/>
      <c r="E3" s="16"/>
      <c r="F3" s="16"/>
      <c r="G3" s="17"/>
      <c r="H3" s="17"/>
      <c r="I3" s="16"/>
      <c r="J3" s="16"/>
      <c r="K3" s="16"/>
      <c r="L3" s="40" t="s">
        <v>2</v>
      </c>
    </row>
    <row r="4" s="4" customFormat="1" ht="26.25" customHeight="1" spans="1:12">
      <c r="A4" s="18" t="s">
        <v>120</v>
      </c>
      <c r="B4" s="19" t="s">
        <v>121</v>
      </c>
      <c r="C4" s="19" t="s">
        <v>122</v>
      </c>
      <c r="D4" s="19" t="s">
        <v>123</v>
      </c>
      <c r="E4" s="20" t="s">
        <v>124</v>
      </c>
      <c r="F4" s="19" t="s">
        <v>125</v>
      </c>
      <c r="G4" s="21" t="s">
        <v>126</v>
      </c>
      <c r="H4" s="21"/>
      <c r="I4" s="41"/>
      <c r="J4" s="41"/>
      <c r="K4" s="41"/>
      <c r="L4" s="41"/>
    </row>
    <row r="5" s="4" customFormat="1" ht="21.95" customHeight="1" spans="1:12">
      <c r="A5" s="22"/>
      <c r="B5" s="23"/>
      <c r="C5" s="23"/>
      <c r="D5" s="23"/>
      <c r="E5" s="24"/>
      <c r="F5" s="25"/>
      <c r="G5" s="26" t="s">
        <v>127</v>
      </c>
      <c r="H5" s="26" t="s">
        <v>128</v>
      </c>
      <c r="I5" s="42" t="s">
        <v>129</v>
      </c>
      <c r="J5" s="42" t="s">
        <v>130</v>
      </c>
      <c r="K5" s="42" t="s">
        <v>131</v>
      </c>
      <c r="L5" s="43" t="s">
        <v>132</v>
      </c>
    </row>
    <row r="6" s="4" customFormat="1" ht="51" customHeight="1" spans="1:12">
      <c r="A6" s="27"/>
      <c r="B6" s="23"/>
      <c r="C6" s="23"/>
      <c r="D6" s="23"/>
      <c r="E6" s="28"/>
      <c r="F6" s="29"/>
      <c r="G6" s="30"/>
      <c r="H6" s="30"/>
      <c r="I6" s="44"/>
      <c r="J6" s="44"/>
      <c r="K6" s="44"/>
      <c r="L6" s="45"/>
    </row>
    <row r="7" s="5" customFormat="1" ht="26.1" customHeight="1" spans="1:12">
      <c r="A7" s="31"/>
      <c r="B7" s="32"/>
      <c r="C7" s="31" t="s">
        <v>133</v>
      </c>
      <c r="D7" s="31"/>
      <c r="E7" s="31">
        <f t="shared" ref="E7:H7" si="0">SUM(E8:E12)</f>
        <v>5</v>
      </c>
      <c r="F7" s="31"/>
      <c r="G7" s="33">
        <f t="shared" si="0"/>
        <v>8.3</v>
      </c>
      <c r="H7" s="33">
        <f t="shared" si="0"/>
        <v>8.3</v>
      </c>
      <c r="I7" s="31"/>
      <c r="J7" s="31"/>
      <c r="K7" s="31"/>
      <c r="L7" s="31"/>
    </row>
    <row r="8" s="4" customFormat="1" ht="26.1" customHeight="1" spans="1:12">
      <c r="A8" s="34">
        <v>2130204</v>
      </c>
      <c r="B8" s="35" t="s">
        <v>134</v>
      </c>
      <c r="C8" s="34" t="s">
        <v>135</v>
      </c>
      <c r="D8" s="34" t="s">
        <v>136</v>
      </c>
      <c r="E8" s="34">
        <v>1</v>
      </c>
      <c r="F8" s="34" t="s">
        <v>137</v>
      </c>
      <c r="G8" s="36">
        <v>4</v>
      </c>
      <c r="H8" s="36">
        <v>4</v>
      </c>
      <c r="I8" s="34"/>
      <c r="J8" s="34"/>
      <c r="K8" s="34"/>
      <c r="L8" s="34"/>
    </row>
    <row r="9" s="4" customFormat="1" ht="26.1" customHeight="1" spans="1:12">
      <c r="A9" s="34">
        <v>2130204</v>
      </c>
      <c r="B9" s="35" t="s">
        <v>134</v>
      </c>
      <c r="C9" s="34" t="s">
        <v>135</v>
      </c>
      <c r="D9" s="34" t="s">
        <v>138</v>
      </c>
      <c r="E9" s="34">
        <v>1</v>
      </c>
      <c r="F9" s="34" t="s">
        <v>137</v>
      </c>
      <c r="G9" s="36">
        <v>0.5</v>
      </c>
      <c r="H9" s="36">
        <v>0.5</v>
      </c>
      <c r="I9" s="34"/>
      <c r="J9" s="34"/>
      <c r="K9" s="34"/>
      <c r="L9" s="34"/>
    </row>
    <row r="10" s="4" customFormat="1" ht="26.1" customHeight="1" spans="1:12">
      <c r="A10" s="34">
        <v>2130204</v>
      </c>
      <c r="B10" s="35" t="s">
        <v>134</v>
      </c>
      <c r="C10" s="34" t="s">
        <v>135</v>
      </c>
      <c r="D10" s="34" t="s">
        <v>139</v>
      </c>
      <c r="E10" s="34">
        <v>1</v>
      </c>
      <c r="F10" s="34" t="s">
        <v>137</v>
      </c>
      <c r="G10" s="36">
        <v>1</v>
      </c>
      <c r="H10" s="36">
        <v>1</v>
      </c>
      <c r="I10" s="34"/>
      <c r="J10" s="34"/>
      <c r="K10" s="34"/>
      <c r="L10" s="34"/>
    </row>
    <row r="11" s="4" customFormat="1" ht="26.1" customHeight="1" spans="1:12">
      <c r="A11" s="34">
        <v>2130204</v>
      </c>
      <c r="B11" s="35" t="s">
        <v>134</v>
      </c>
      <c r="C11" s="34" t="s">
        <v>135</v>
      </c>
      <c r="D11" s="34" t="s">
        <v>140</v>
      </c>
      <c r="E11" s="34">
        <v>1</v>
      </c>
      <c r="F11" s="34" t="s">
        <v>137</v>
      </c>
      <c r="G11" s="36">
        <v>2</v>
      </c>
      <c r="H11" s="36">
        <v>2</v>
      </c>
      <c r="I11" s="34"/>
      <c r="J11" s="34"/>
      <c r="K11" s="34"/>
      <c r="L11" s="34"/>
    </row>
    <row r="12" s="4" customFormat="1" ht="26.1" customHeight="1" spans="1:12">
      <c r="A12" s="34">
        <v>2130204</v>
      </c>
      <c r="B12" s="35" t="s">
        <v>134</v>
      </c>
      <c r="C12" s="34" t="s">
        <v>135</v>
      </c>
      <c r="D12" s="34" t="s">
        <v>141</v>
      </c>
      <c r="E12" s="34">
        <v>1</v>
      </c>
      <c r="F12" s="34" t="s">
        <v>142</v>
      </c>
      <c r="G12" s="36">
        <v>0.8</v>
      </c>
      <c r="H12" s="36">
        <v>0.8</v>
      </c>
      <c r="I12" s="34"/>
      <c r="J12" s="34"/>
      <c r="K12" s="34"/>
      <c r="L12" s="34"/>
    </row>
    <row r="13" spans="2:2">
      <c r="B13" s="7"/>
    </row>
    <row r="14" spans="2:2">
      <c r="B14" s="7"/>
    </row>
    <row r="15" spans="2:2">
      <c r="B15" s="7"/>
    </row>
    <row r="16" spans="2:2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4">
      <c r="B31" s="37"/>
      <c r="C31" s="38"/>
      <c r="D31" s="38"/>
    </row>
    <row r="39" spans="2:4">
      <c r="B39" s="37"/>
      <c r="C39" s="38"/>
      <c r="D39" s="38"/>
    </row>
    <row r="47" spans="2:4">
      <c r="B47" s="37"/>
      <c r="C47" s="38"/>
      <c r="D47" s="38"/>
    </row>
    <row r="53" spans="2:4">
      <c r="B53" s="37"/>
      <c r="C53" s="38"/>
      <c r="D53" s="38"/>
    </row>
    <row r="61" spans="2:4">
      <c r="B61" s="37"/>
      <c r="C61" s="38"/>
      <c r="D61" s="38"/>
    </row>
  </sheetData>
  <mergeCells count="57">
    <mergeCell ref="A4:A6"/>
    <mergeCell ref="B4:B6"/>
    <mergeCell ref="B65537:B65539"/>
    <mergeCell ref="B131073:B131075"/>
    <mergeCell ref="B196609:B196611"/>
    <mergeCell ref="B262145:B262147"/>
    <mergeCell ref="B327681:B327683"/>
    <mergeCell ref="B393217:B393219"/>
    <mergeCell ref="B458753:B458755"/>
    <mergeCell ref="B524289:B524291"/>
    <mergeCell ref="B589825:B589827"/>
    <mergeCell ref="B655361:B655363"/>
    <mergeCell ref="B720897:B720899"/>
    <mergeCell ref="B786433:B786435"/>
    <mergeCell ref="B851969:B851971"/>
    <mergeCell ref="B917505:B917507"/>
    <mergeCell ref="B983041:B983043"/>
    <mergeCell ref="C4:C6"/>
    <mergeCell ref="C65537:C65539"/>
    <mergeCell ref="C131073:C131075"/>
    <mergeCell ref="C196609:C196611"/>
    <mergeCell ref="C262145:C262147"/>
    <mergeCell ref="C327681:C327683"/>
    <mergeCell ref="C393217:C393219"/>
    <mergeCell ref="C458753:C458755"/>
    <mergeCell ref="C524289:C524291"/>
    <mergeCell ref="C589825:C589827"/>
    <mergeCell ref="C655361:C655363"/>
    <mergeCell ref="C720897:C720899"/>
    <mergeCell ref="C786433:C786435"/>
    <mergeCell ref="C851969:C851971"/>
    <mergeCell ref="C917505:C917507"/>
    <mergeCell ref="C983041:C983043"/>
    <mergeCell ref="D4:D6"/>
    <mergeCell ref="D65537:D65539"/>
    <mergeCell ref="D131073:D131075"/>
    <mergeCell ref="D196609:D196611"/>
    <mergeCell ref="D262145:D262147"/>
    <mergeCell ref="D327681:D327683"/>
    <mergeCell ref="D393217:D393219"/>
    <mergeCell ref="D458753:D458755"/>
    <mergeCell ref="D524289:D524291"/>
    <mergeCell ref="D589825:D589827"/>
    <mergeCell ref="D655361:D655363"/>
    <mergeCell ref="D720897:D720899"/>
    <mergeCell ref="D786433:D786435"/>
    <mergeCell ref="D851969:D851971"/>
    <mergeCell ref="D917505:D917507"/>
    <mergeCell ref="D983041:D983043"/>
    <mergeCell ref="E4:E6"/>
    <mergeCell ref="F4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N9" rgbClr="26C87C"/>
    <comment s:ref="P9" rgbClr="26C87C"/>
    <comment s:ref="N11" rgbClr="26C87C"/>
    <comment s:ref="P11" rgbClr="26C87C"/>
    <comment s:ref="N12" rgbClr="26C87C"/>
    <comment s:ref="P12" rgbClr="26C87C"/>
    <comment s:ref="N16" rgbClr="26C87C"/>
  </commentList>
  <commentList sheetStid="3">
    <comment s:ref="N9" rgbClr="26C87C"/>
    <comment s:ref="P9" rgbClr="26C87C"/>
    <comment s:ref="N11" rgbClr="26C87C"/>
    <comment s:ref="P11" rgbClr="26C87C"/>
    <comment s:ref="N12" rgbClr="26C87C"/>
    <comment s:ref="P12" rgbClr="26C87C"/>
    <comment s:ref="N16" rgbClr="26C87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2021年体制基数</vt:lpstr>
      <vt:lpstr>2021年林业站工资测算</vt:lpstr>
      <vt:lpstr>2022年体制基数</vt:lpstr>
      <vt:lpstr>2022年林业站工资测算</vt:lpstr>
      <vt:lpstr>2022年林业站政府采购清单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BErBa</cp:lastModifiedBy>
  <dcterms:created xsi:type="dcterms:W3CDTF">2022-06-06T06:45:23Z</dcterms:created>
  <dcterms:modified xsi:type="dcterms:W3CDTF">2022-06-06T06:49:11Z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B05A907C4FF949C6BCF75696BD1CDAF6</vt:lpwstr>
  </property>
  <property fmtid="{D5CDD505-2E9C-101B-9397-08002B2CF9AE}" pid="3" name="KSOProductBuildVer">
    <vt:lpwstr>2052-11.1.0.11744</vt:lpwstr>
  </property>
</Properties>
</file>